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C:\Users\miikka22h\Työkansio\Projektit\Metallituotteiden uusi elämä\Tekniset raportoinnit\Tietopaketit\"/>
    </mc:Choice>
  </mc:AlternateContent>
  <xr:revisionPtr revIDLastSave="1" documentId="8_{DD56888B-E10A-4B58-B17D-A53D94F2BE3F}" xr6:coauthVersionLast="47" xr6:coauthVersionMax="47" xr10:uidLastSave="{3AE27A94-08F1-4814-B724-FEE3346F28F3}"/>
  <bookViews>
    <workbookView xWindow="-110" yWindow="-110" windowWidth="19420" windowHeight="11500" tabRatio="660" xr2:uid="{00000000-000D-0000-FFFF-FFFF00000000}"/>
  </bookViews>
  <sheets>
    <sheet name="Lue minut" sheetId="59" r:id="rId1"/>
    <sheet name="UI" sheetId="15" r:id="rId2"/>
    <sheet name="Materiaali" sheetId="54" r:id="rId3"/>
    <sheet name="Laskenta" sheetId="55" r:id="rId4"/>
    <sheet name="Energia" sheetId="57" r:id="rId5"/>
    <sheet name="Kustannus" sheetId="58" r:id="rId6"/>
  </sheets>
  <definedNames>
    <definedName name="_Hlk233274392" localSheetId="0">'Lue minut'!$B$4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2" i="55" l="1"/>
  <c r="D112" i="55"/>
  <c r="B112" i="55"/>
  <c r="C35" i="15" l="1"/>
  <c r="C36" i="15" s="1"/>
  <c r="D36" i="15" s="1"/>
  <c r="E36" i="15" s="1"/>
  <c r="D31" i="15"/>
  <c r="B14" i="55" a="1"/>
  <c r="B14" i="55" s="1"/>
  <c r="B39" i="55" a="1"/>
  <c r="B39" i="55" s="1"/>
  <c r="D111" i="55" a="1"/>
  <c r="D111" i="55" s="1"/>
  <c r="C111" i="55" a="1"/>
  <c r="C111" i="55" s="1"/>
  <c r="B111" i="55" a="1"/>
  <c r="B111" i="55" s="1"/>
  <c r="B93" i="55"/>
  <c r="C93" i="55"/>
  <c r="D93" i="55"/>
  <c r="D92" i="55" a="1"/>
  <c r="D92" i="55" s="1"/>
  <c r="C92" i="55" a="1"/>
  <c r="C92" i="55" s="1"/>
  <c r="B92" i="55" a="1"/>
  <c r="B92" i="55" s="1"/>
  <c r="B51" i="55" a="1"/>
  <c r="B51" i="55" s="1"/>
  <c r="C51" i="55" a="1"/>
  <c r="C51" i="55" s="1"/>
  <c r="D51" i="55" a="1"/>
  <c r="D51" i="55" s="1"/>
  <c r="B52" i="55" a="1"/>
  <c r="B52" i="55" s="1"/>
  <c r="C52" i="55" a="1"/>
  <c r="C52" i="55" s="1"/>
  <c r="D52" i="55" a="1"/>
  <c r="D52" i="55" s="1"/>
  <c r="B53" i="55" a="1"/>
  <c r="B53" i="55" s="1"/>
  <c r="C53" i="55" a="1"/>
  <c r="C53" i="55" s="1"/>
  <c r="D53" i="55" a="1"/>
  <c r="D53" i="55" s="1"/>
  <c r="D50" i="55" a="1"/>
  <c r="D50" i="55" s="1"/>
  <c r="C50" i="55" a="1"/>
  <c r="C50" i="55" s="1"/>
  <c r="B50" i="55" a="1"/>
  <c r="B50" i="55" s="1"/>
  <c r="D39" i="55" a="1"/>
  <c r="D39" i="55" s="1"/>
  <c r="C39" i="55" a="1"/>
  <c r="C39" i="55" s="1"/>
  <c r="B29" i="55" a="1"/>
  <c r="B29" i="55" s="1"/>
  <c r="D29" i="55" a="1"/>
  <c r="D29" i="55" s="1"/>
  <c r="B31" i="55" a="1"/>
  <c r="B31" i="55" s="1"/>
  <c r="D31" i="55" a="1"/>
  <c r="D31" i="55" s="1"/>
  <c r="D25" i="55" a="1"/>
  <c r="D25" i="55" s="1"/>
  <c r="D26" i="55" a="1"/>
  <c r="D26" i="55" s="1"/>
  <c r="B24" i="55" a="1"/>
  <c r="B24" i="55" s="1"/>
  <c r="B26" i="55" a="1"/>
  <c r="B26" i="55" s="1"/>
  <c r="B23" i="55" a="1"/>
  <c r="B23" i="55" s="1"/>
  <c r="C15" i="55" a="1"/>
  <c r="C15" i="55" s="1"/>
  <c r="C17" i="55" s="1"/>
  <c r="D15" i="55" a="1"/>
  <c r="D15" i="55" s="1"/>
  <c r="B15" i="55" a="1"/>
  <c r="B15" i="55" s="1"/>
  <c r="D116" i="55"/>
  <c r="D119" i="55" s="1"/>
  <c r="C116" i="55"/>
  <c r="C119" i="55" s="1"/>
  <c r="B116" i="55"/>
  <c r="D114" i="55"/>
  <c r="C114" i="55"/>
  <c r="B114" i="55"/>
  <c r="D113" i="55"/>
  <c r="C113" i="55"/>
  <c r="B113" i="55"/>
  <c r="D89" i="55"/>
  <c r="C89" i="55"/>
  <c r="B89" i="55"/>
  <c r="D88" i="55"/>
  <c r="C88" i="55"/>
  <c r="B88" i="55"/>
  <c r="D42" i="55"/>
  <c r="C42" i="55"/>
  <c r="B42" i="55"/>
  <c r="B6" i="55"/>
  <c r="B5" i="55"/>
  <c r="B4" i="55"/>
  <c r="D3" i="55"/>
  <c r="C3" i="55"/>
  <c r="B3" i="55"/>
  <c r="J24" i="54"/>
  <c r="I24" i="54"/>
  <c r="H24" i="54"/>
  <c r="G24" i="54"/>
  <c r="D54" i="55" s="1" a="1"/>
  <c r="D54" i="55" s="1"/>
  <c r="F24" i="54"/>
  <c r="C54" i="55" s="1" a="1"/>
  <c r="C54" i="55" s="1"/>
  <c r="E24" i="54"/>
  <c r="B54" i="55" s="1" a="1"/>
  <c r="B54" i="55" s="1"/>
  <c r="D24" i="54"/>
  <c r="C24" i="54"/>
  <c r="B24" i="54"/>
  <c r="J15" i="54"/>
  <c r="D15" i="54" s="1"/>
  <c r="I15" i="54"/>
  <c r="F15" i="54" s="1"/>
  <c r="C32" i="55" s="1" a="1"/>
  <c r="C32" i="55" s="1"/>
  <c r="G15" i="54"/>
  <c r="D32" i="55" s="1" a="1"/>
  <c r="D32" i="55" s="1"/>
  <c r="E15" i="54"/>
  <c r="B32" i="55" s="1" a="1"/>
  <c r="B32" i="55" s="1"/>
  <c r="C15" i="54"/>
  <c r="B15" i="54"/>
  <c r="I14" i="54"/>
  <c r="F14" i="54" s="1"/>
  <c r="C31" i="55" s="1" a="1"/>
  <c r="C31" i="55" s="1"/>
  <c r="D14" i="54"/>
  <c r="C14" i="54"/>
  <c r="J13" i="54"/>
  <c r="D13" i="54" s="1"/>
  <c r="H13" i="54"/>
  <c r="G13" i="54"/>
  <c r="D30" i="55" s="1" a="1"/>
  <c r="D30" i="55" s="1"/>
  <c r="C30" i="55" a="1"/>
  <c r="C30" i="55" s="1"/>
  <c r="E13" i="54"/>
  <c r="B30" i="55" s="1" a="1"/>
  <c r="B30" i="55" s="1"/>
  <c r="C29" i="55" a="1"/>
  <c r="C29" i="55" s="1"/>
  <c r="D12" i="54"/>
  <c r="J11" i="54"/>
  <c r="D11" i="54" s="1"/>
  <c r="G11" i="54"/>
  <c r="D28" i="55" s="1" a="1"/>
  <c r="D28" i="55" s="1"/>
  <c r="F11" i="54"/>
  <c r="C28" i="55" s="1" a="1"/>
  <c r="C28" i="55" s="1"/>
  <c r="E11" i="54"/>
  <c r="B28" i="55" s="1" a="1"/>
  <c r="B28" i="55" s="1"/>
  <c r="C11" i="54"/>
  <c r="D10" i="54"/>
  <c r="J9" i="54"/>
  <c r="I9" i="54"/>
  <c r="F9" i="54" s="1"/>
  <c r="C26" i="55" s="1" a="1"/>
  <c r="C26" i="55" s="1"/>
  <c r="H9" i="54"/>
  <c r="H8" i="54"/>
  <c r="H11" i="54" s="1"/>
  <c r="F8" i="54"/>
  <c r="C25" i="55" s="1" a="1"/>
  <c r="C25" i="55" s="1"/>
  <c r="E8" i="54"/>
  <c r="B25" i="55" s="1" a="1"/>
  <c r="B25" i="55" s="1"/>
  <c r="D8" i="54"/>
  <c r="B8" i="54"/>
  <c r="A132" i="55" l="1"/>
  <c r="A127" i="55"/>
  <c r="A131" i="55"/>
  <c r="A126" i="55"/>
  <c r="B119" i="55"/>
  <c r="E127" i="55" s="1"/>
  <c r="E126" i="55"/>
  <c r="B115" i="55"/>
  <c r="C115" i="55"/>
  <c r="D115" i="55"/>
  <c r="C33" i="55"/>
  <c r="D27" i="55"/>
  <c r="B27" i="55"/>
  <c r="B35" i="55"/>
  <c r="D17" i="55"/>
  <c r="D16" i="55"/>
  <c r="C27" i="55"/>
  <c r="B16" i="55"/>
  <c r="B17" i="55"/>
  <c r="B12" i="55" s="1"/>
  <c r="B77" i="55" s="1"/>
  <c r="E131" i="55" s="1"/>
  <c r="C35" i="55"/>
  <c r="D35" i="55"/>
  <c r="C16" i="55"/>
  <c r="B121" i="55" l="1"/>
  <c r="E132" i="55" s="1"/>
  <c r="D33" i="55"/>
  <c r="B21" i="55"/>
  <c r="B33" i="55"/>
  <c r="B7" i="55" l="1"/>
  <c r="B8" i="55" l="1"/>
  <c r="B19" i="55"/>
  <c r="D34" i="15"/>
  <c r="D33" i="15"/>
  <c r="D32" i="15"/>
  <c r="E22" i="15"/>
  <c r="D22" i="15"/>
  <c r="C22" i="15"/>
  <c r="C15" i="15"/>
  <c r="B43" i="55" l="1"/>
  <c r="D43" i="55"/>
  <c r="C43" i="55"/>
  <c r="B2" i="55"/>
  <c r="C2" i="55"/>
  <c r="D2" i="55"/>
  <c r="B9" i="55"/>
  <c r="B11" i="55" s="1"/>
  <c r="C4" i="55"/>
  <c r="C5" i="55"/>
  <c r="C6" i="55"/>
  <c r="D14" i="15"/>
  <c r="E33" i="15"/>
  <c r="E34" i="15"/>
  <c r="E32" i="15"/>
  <c r="D35" i="15"/>
  <c r="B10" i="55" l="1"/>
  <c r="B20" i="55" s="1"/>
  <c r="D5" i="55"/>
  <c r="C12" i="55"/>
  <c r="C77" i="55" s="1"/>
  <c r="C121" i="55" s="1"/>
  <c r="D4" i="55"/>
  <c r="C7" i="55"/>
  <c r="C19" i="55" s="1"/>
  <c r="D6" i="55"/>
  <c r="C21" i="55"/>
  <c r="E35" i="15"/>
  <c r="D12" i="55" l="1"/>
  <c r="D77" i="55" s="1"/>
  <c r="D121" i="55" s="1"/>
  <c r="B18" i="55"/>
  <c r="B37" i="55" s="1"/>
  <c r="D7" i="55"/>
  <c r="D8" i="55" s="1"/>
  <c r="D9" i="55" s="1"/>
  <c r="B40" i="55"/>
  <c r="B73" i="55"/>
  <c r="B103" i="55" s="1"/>
  <c r="D21" i="55"/>
  <c r="C8" i="55"/>
  <c r="C9" i="55" s="1"/>
  <c r="C11" i="55" s="1"/>
  <c r="B97" i="55" l="1"/>
  <c r="B58" i="55"/>
  <c r="B59" i="55" s="1"/>
  <c r="B60" i="55" s="1"/>
  <c r="D19" i="55"/>
  <c r="C10" i="55"/>
  <c r="C18" i="55" s="1"/>
  <c r="B85" i="55"/>
  <c r="B100" i="55" s="1"/>
  <c r="B96" i="55"/>
  <c r="B98" i="55"/>
  <c r="B69" i="55"/>
  <c r="B72" i="55" s="1"/>
  <c r="B67" i="55"/>
  <c r="B71" i="55"/>
  <c r="B105" i="55"/>
  <c r="B86" i="55"/>
  <c r="B104" i="55" s="1"/>
  <c r="D10" i="55"/>
  <c r="D11" i="55"/>
  <c r="B64" i="55" l="1"/>
  <c r="B106" i="55"/>
  <c r="C20" i="55"/>
  <c r="C40" i="55" s="1"/>
  <c r="D20" i="55"/>
  <c r="D18" i="55"/>
  <c r="B99" i="55"/>
  <c r="B101" i="55" s="1"/>
  <c r="B108" i="55" s="1"/>
  <c r="B70" i="55"/>
  <c r="C97" i="55"/>
  <c r="C37" i="55"/>
  <c r="C58" i="55"/>
  <c r="C59" i="55" s="1"/>
  <c r="B63" i="55"/>
  <c r="B62" i="55"/>
  <c r="B65" i="55" l="1"/>
  <c r="B75" i="55" s="1"/>
  <c r="B126" i="55"/>
  <c r="B118" i="55"/>
  <c r="B117" i="55"/>
  <c r="B127" i="55" s="1"/>
  <c r="C73" i="55"/>
  <c r="C103" i="55" s="1"/>
  <c r="C86" i="55"/>
  <c r="C104" i="55" s="1"/>
  <c r="C105" i="55"/>
  <c r="D97" i="55"/>
  <c r="D37" i="55"/>
  <c r="D58" i="55"/>
  <c r="D59" i="55" s="1"/>
  <c r="C64" i="55"/>
  <c r="C60" i="55"/>
  <c r="D40" i="55"/>
  <c r="D73" i="55"/>
  <c r="D103" i="55" s="1"/>
  <c r="C98" i="55"/>
  <c r="C85" i="55"/>
  <c r="C100" i="55" s="1"/>
  <c r="C67" i="55"/>
  <c r="C96" i="55"/>
  <c r="C69" i="55"/>
  <c r="C71" i="55"/>
  <c r="B120" i="55" l="1"/>
  <c r="B132" i="55" s="1"/>
  <c r="B131" i="55"/>
  <c r="C72" i="55"/>
  <c r="C106" i="55"/>
  <c r="D60" i="55"/>
  <c r="D64" i="55"/>
  <c r="D96" i="55"/>
  <c r="D98" i="55"/>
  <c r="D85" i="55"/>
  <c r="D100" i="55" s="1"/>
  <c r="D69" i="55"/>
  <c r="D67" i="55"/>
  <c r="D71" i="55"/>
  <c r="D86" i="55"/>
  <c r="D104" i="55" s="1"/>
  <c r="D105" i="55"/>
  <c r="C70" i="55"/>
  <c r="C99" i="55"/>
  <c r="C101" i="55" s="1"/>
  <c r="C63" i="55"/>
  <c r="C62" i="55"/>
  <c r="D106" i="55" l="1"/>
  <c r="C108" i="55"/>
  <c r="C126" i="55" s="1"/>
  <c r="C65" i="55"/>
  <c r="C75" i="55" s="1"/>
  <c r="D99" i="55"/>
  <c r="D101" i="55" s="1"/>
  <c r="D70" i="55"/>
  <c r="D72" i="55"/>
  <c r="D63" i="55"/>
  <c r="D62" i="55"/>
  <c r="C120" i="55" l="1"/>
  <c r="C132" i="55" s="1"/>
  <c r="C131" i="55"/>
  <c r="C117" i="55"/>
  <c r="C127" i="55" s="1"/>
  <c r="C118" i="55"/>
  <c r="D108" i="55"/>
  <c r="D126" i="55" s="1"/>
  <c r="D65" i="55"/>
  <c r="D75" i="55" s="1"/>
  <c r="D120" i="55" l="1"/>
  <c r="D132" i="55" s="1"/>
  <c r="D131" i="55"/>
  <c r="D117" i="55"/>
  <c r="D127" i="55" s="1"/>
  <c r="D118" i="5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<sst xmlns="http://schemas.openxmlformats.org/spreadsheetml/2006/main" count="352" uniqueCount="222">
  <si>
    <t>Metallituotteen Uusi Elämä -hanke</t>
  </si>
  <si>
    <t>Suorakerrostus (DED) -korjauksen kustannusten ja energiankulutuksen (ympäristövaikutusten) elinkaarilaskentatyökalu</t>
  </si>
  <si>
    <t xml:space="preserve">Laskurin antamat arvot ovat riippuvaisia käyttäjän syötteistä, ja tarkoituksena on tarjota pohja jota yritys voi mukauttaa omaan käyttöönsä. Valmiiksi tarjottuja prosessiparametreja ja muita arvoja ei ole tarkoitettu yleispäteviksi. Laskentaperiaate on yksinkertaistettu kuvaus todellisesta prosessista, ja tuloksia tulee kohdella suuntaa-antavina arvoina, joita voi hyödyntää tapauskohtaisesti eri tekniikoiden ja materiaalien vertailuun. </t>
  </si>
  <si>
    <t xml:space="preserve">Tämä julkaisu on osa julkisten tietopakettien sarjaa, joka on tuotettu Metallituotteiden uusi elämä -hankkeessa (hankekoodi A80607) hankeen työpakettien tuloksien levittämiseen yrityksille ja muille sidosryhmille. </t>
  </si>
  <si>
    <t xml:space="preserve">Metallituotteiden uusi elämä on Euroopan aluekehitysrahaston (EAKR) rahoituksen saanut hanke, joka on osa Uudistuva ja osaava Suomi 2021−2027 –ohjelmassa tehtävää kehittämistoimintaa. </t>
  </si>
  <si>
    <t xml:space="preserve">Hankkeen kesto oli 1.1.2024 – 30.6.2026. Hankkeen osarahoittajana on ollut Euroopan unioni ja rahoittavana viranomaisena Varsinais-Suomen liitto. Hanke toteutettiin ryhmähankkeena yhteistyössä Turun ammattikorkeakoulun ja Turun yliopiston kanssa sekä yhteistyössä erityisesti Varsinais-Suomen valmistavan teollisuuden yrityksien kanssa. </t>
  </si>
  <si>
    <t>Hankkeen kokonaistavoiteena oli saada suomalainen ja erityisesti Varsinais-Suomen alueen teollisuus käyttämään suorakerrostustekniikkaa osien korjaamiseen, kunnostukseen ja uudelleenvalmistamiseen ja sitä kautta yritykset ottamaan kiertotalouden näkökulma osaksi heidän liiketoimintamalliaan.</t>
  </si>
  <si>
    <t>Terveisin,</t>
  </si>
  <si>
    <t>Turun ammattikorkeakoulun ja Turun yliopiston hanketiimien työpakettien tekemiseen osallistuneet työryhmän henkilöt</t>
  </si>
  <si>
    <t>Turun yliopiston ja Turun ammattikorkeakoulun Metallituotteen Uusi Elämä -hanke | LCA/LCC laskentatyökalu</t>
  </si>
  <si>
    <t>Tämä on laskurin käyttöliittymä. Syötä tapauksesi tiedot tähän. Laskentasivu noutaa tarvittavat arvot täältä tai Materiaali-välilehdeltä valitsemasi materiaalin mukaan. Energia- ja Kustannus-välilehdiltä löydät laskennan tuottamaa dataa havainnollistavia, automaattisesti päivittyviä kuvaajia.</t>
  </si>
  <si>
    <t>Materiaalit</t>
  </si>
  <si>
    <t>Pinnoitusmateriaali</t>
  </si>
  <si>
    <t>Stellite</t>
  </si>
  <si>
    <t>Valitse materiaali pudotusvalikosta</t>
  </si>
  <si>
    <t>Materiaalivalikoima (jos lisäät uusia materiaaleja "materiaali" välilehdelle, lisää sen nimi tähän perään jotta näkyvät pudotusvalikossa)</t>
  </si>
  <si>
    <t xml:space="preserve"> Vaikuttaa pinnoituksen parametreihin, kustannuksiin, ja ympäristövaikutuksiin</t>
  </si>
  <si>
    <t>Teräs</t>
  </si>
  <si>
    <t>316L</t>
  </si>
  <si>
    <t>Osan materiaali</t>
  </si>
  <si>
    <t>Oletuksena laskennassa teräs</t>
  </si>
  <si>
    <t xml:space="preserve"> Vaikuttaa uuden osan ympäristövaikutuksiin</t>
  </si>
  <si>
    <t>Suojakaasu - Oletuksena Argon; jos käytössä sekoitus, lisää kaasun 2 tiedot "Materiaali" välilehdellä</t>
  </si>
  <si>
    <t>Argon osuus (%)</t>
  </si>
  <si>
    <t>Kaasu 2 osuus (%)</t>
  </si>
  <si>
    <t>Parametrit</t>
  </si>
  <si>
    <t>Vähimmäisylimitta (koneistusvara), mm</t>
  </si>
  <si>
    <t>Valokaari/lanka</t>
  </si>
  <si>
    <t>Laser/jauho</t>
  </si>
  <si>
    <t>Laser/lanka</t>
  </si>
  <si>
    <t>Suositus 1-4mm</t>
  </si>
  <si>
    <t>Suositus 0.5-1mm</t>
  </si>
  <si>
    <t>Suositus 1-2mm</t>
  </si>
  <si>
    <t>Kerrospaksuus, mm</t>
  </si>
  <si>
    <t>Suositus 1-5mm</t>
  </si>
  <si>
    <t>Suositus 0.5-1.5mm</t>
  </si>
  <si>
    <t>Case</t>
  </si>
  <si>
    <t>Sylinterin pinnoitus (esim akselin kuluma; esikoneistuksen määrä riippuu kuluman tasaisuudesta)</t>
  </si>
  <si>
    <t>Pituus, mm</t>
  </si>
  <si>
    <t>Nimellinen halkaisija, mm</t>
  </si>
  <si>
    <t xml:space="preserve"> (uuden osan halkaisija/korjauksen jälkeen)</t>
  </si>
  <si>
    <t>Kulunut halkaisija, mm</t>
  </si>
  <si>
    <t xml:space="preserve"> (mitattu kuluneesta osasta)</t>
  </si>
  <si>
    <t>Esikoneistettu halkaisija, mm</t>
  </si>
  <si>
    <t xml:space="preserve"> (kulunut pinta poistettu, tasainen lieriöpinta; riippuu eniten/vähiten kuluneiden kohtien erosta)</t>
  </si>
  <si>
    <t>Pinnoitettu paksuus, mm</t>
  </si>
  <si>
    <t>Elinkaarivaikutukset (kestävämmän pinnoituksen tuoma pidempi käyttöikä)</t>
  </si>
  <si>
    <t>Uuden osan hinta/hankintakustannus, €</t>
  </si>
  <si>
    <t>Mitä korjauksen vaihtoehto maksaa</t>
  </si>
  <si>
    <t>Osan tyypllinen elinikä, v</t>
  </si>
  <si>
    <t>Kuinka kauan käytössä kunnes vaatii uusimista</t>
  </si>
  <si>
    <t>Vastaavan osan käyttöikä/tarve, v</t>
  </si>
  <si>
    <t>Kuinka kauan osaa tullaan tarvitsemaan</t>
  </si>
  <si>
    <t>Tämä välilehti sisältää materiaalikohtaiset elinkaari-inventaariotiedot (energiankulutuksen ja hinnat) sekä prosessiparametrit. Voit lisätä uusia materiaaleja tai muokata nykyisiä tällä välilehdellä.</t>
  </si>
  <si>
    <t>Teräs (s355, er70)</t>
  </si>
  <si>
    <t>Ruostumaton teräs (316L)</t>
  </si>
  <si>
    <t>Valittu materiaali</t>
  </si>
  <si>
    <t>DED-Arc</t>
  </si>
  <si>
    <t>DED-LB/powder</t>
  </si>
  <si>
    <t>DED-LB/wire</t>
  </si>
  <si>
    <t>Tiheys</t>
  </si>
  <si>
    <t>kg/m3</t>
  </si>
  <si>
    <t>Jännite</t>
  </si>
  <si>
    <t>Virta</t>
  </si>
  <si>
    <t>Laser/valokaari teho</t>
  </si>
  <si>
    <t>W</t>
  </si>
  <si>
    <t>Hyötysuhde</t>
  </si>
  <si>
    <t>%</t>
  </si>
  <si>
    <t>Sähköteho</t>
  </si>
  <si>
    <t>Liikenopeus</t>
  </si>
  <si>
    <t>mm/s</t>
  </si>
  <si>
    <t>Langan säde</t>
  </si>
  <si>
    <t>mm</t>
  </si>
  <si>
    <t>Langansyöttö</t>
  </si>
  <si>
    <t>Jauhonsyöttö</t>
  </si>
  <si>
    <t>g/s</t>
  </si>
  <si>
    <t>Suojakaasuvirta</t>
  </si>
  <si>
    <t>l/s</t>
  </si>
  <si>
    <t>MRR/Aineenpoisto</t>
  </si>
  <si>
    <t>cm3/min</t>
  </si>
  <si>
    <t>Työkalun kuluma</t>
  </si>
  <si>
    <t>Ei implementoitu, mutta työkalukustannukset voidaan laskea esim per koneistettu kg</t>
  </si>
  <si>
    <t>Ominaisenergia alkuperäinen mat</t>
  </si>
  <si>
    <t>MJ/kg</t>
  </si>
  <si>
    <t>Ominaisenergia kerrostusmat</t>
  </si>
  <si>
    <t>Ominaisenergia valssaus</t>
  </si>
  <si>
    <t>Ominaisenergia lisäaineen valm</t>
  </si>
  <si>
    <t>Ominaisenergia koneistus</t>
  </si>
  <si>
    <t>Ominaisenergia Argon</t>
  </si>
  <si>
    <t>Ominaisenergia CO2</t>
  </si>
  <si>
    <t>Hinta Argon</t>
  </si>
  <si>
    <t>Hinta CO2</t>
  </si>
  <si>
    <t>Hinta lanka/jauho</t>
  </si>
  <si>
    <t>€/kg</t>
  </si>
  <si>
    <t>Pinnoitus käyttöiän kerroin</t>
  </si>
  <si>
    <t>-</t>
  </si>
  <si>
    <t>Riippuu käyttökohteesta; arvioi kuinka monta kertaa kauemmin tämä materiaali kestää verrattuna osan alkuperäiseen</t>
  </si>
  <si>
    <t>Alkup. Käyttöiän kerroin</t>
  </si>
  <si>
    <t>Yksikkö</t>
  </si>
  <si>
    <t>Vähimmäis ylimitta</t>
  </si>
  <si>
    <t>Kerrospaksuus</t>
  </si>
  <si>
    <t>Värikoodaus</t>
  </si>
  <si>
    <t>Pituus</t>
  </si>
  <si>
    <t>Valkoinen</t>
  </si>
  <si>
    <t>Laskentasolu; muokkaa jos haluat kustomoida laskentakaavoja</t>
  </si>
  <si>
    <t>Säde alkuperäinen</t>
  </si>
  <si>
    <t>Punainen</t>
  </si>
  <si>
    <t>Solu hakee tietonsa toiselta välilehdeltä; muokkaa tietoja vain siellä, ei tässä taulukossa</t>
  </si>
  <si>
    <t>Säde ennen esikon.</t>
  </si>
  <si>
    <t>Keltainen</t>
  </si>
  <si>
    <t>Tapauskohtaiset tiedot, suositellaan muokattaviksi suoraan tässä taulukossa</t>
  </si>
  <si>
    <t>Säde ennen kerrostus</t>
  </si>
  <si>
    <t>Nimellinen kerrostuspaksuus</t>
  </si>
  <si>
    <t>Tod minimi kerrostuspaksuus</t>
  </si>
  <si>
    <t>Keskisäde kerrostuksen jälkeen</t>
  </si>
  <si>
    <t>Ylimitta</t>
  </si>
  <si>
    <t>Alkuperäisen osan massa</t>
  </si>
  <si>
    <t>kg</t>
  </si>
  <si>
    <t>Tiheys /cm3</t>
  </si>
  <si>
    <t>kg/cm3</t>
  </si>
  <si>
    <t>Tiheys /mm3</t>
  </si>
  <si>
    <t>kg/mm3</t>
  </si>
  <si>
    <t>Lask. kerrostettu massa</t>
  </si>
  <si>
    <t xml:space="preserve">kg </t>
  </si>
  <si>
    <t>Lask. Esikoneistettu massa</t>
  </si>
  <si>
    <t>Lask. Jälkikoneistettu massa</t>
  </si>
  <si>
    <t>Haluttu massan lisäys</t>
  </si>
  <si>
    <t>V</t>
  </si>
  <si>
    <t>A</t>
  </si>
  <si>
    <t xml:space="preserve">mm </t>
  </si>
  <si>
    <t>Keskituottavuus (mat.syöttö)</t>
  </si>
  <si>
    <t>kg/h</t>
  </si>
  <si>
    <t>Jäähdytys hyötysuhde (COP)</t>
  </si>
  <si>
    <t>Jos relevantti</t>
  </si>
  <si>
    <t xml:space="preserve">Jäähdytys sähköteho </t>
  </si>
  <si>
    <t>Huom. Laskennallinen arvo; korvaa tunnetulla arvolla jos mahdollista</t>
  </si>
  <si>
    <t>Työstöaika (keskituottavuus/massa)</t>
  </si>
  <si>
    <t>h</t>
  </si>
  <si>
    <t>CNC käyttöaika</t>
  </si>
  <si>
    <t>Huom. esikoneistus laskettu aina teräksen perusteella</t>
  </si>
  <si>
    <t>Argonin osuus suojakaasusta</t>
  </si>
  <si>
    <t>Toisen kaasun osuus suojakaasusta</t>
  </si>
  <si>
    <t>Mat hyötysuhde prosessi</t>
  </si>
  <si>
    <t>Etenkin DED-LB/Powder hyötysuhde (catchment efficiency) prosessikohtainen</t>
  </si>
  <si>
    <t>Mat hyötysuhde valssaus</t>
  </si>
  <si>
    <t>Mat hyötysuhde langanveto/atomisointi (lisäaineen valm)</t>
  </si>
  <si>
    <t>MJ/l</t>
  </si>
  <si>
    <t>Ominaisenergia kaasu 2</t>
  </si>
  <si>
    <t>Käyttäjä voi syöttää jos käytössä kaasusekoitus</t>
  </si>
  <si>
    <t>Massa ennen kerrostusta</t>
  </si>
  <si>
    <t>Massa ennen lisäaineen valmist</t>
  </si>
  <si>
    <t>Massa ennen valssaus (primääri)</t>
  </si>
  <si>
    <t>Energia raakamateriaali</t>
  </si>
  <si>
    <t>MJ</t>
  </si>
  <si>
    <t>Energia valssaus</t>
  </si>
  <si>
    <t>Energia langanveto/atomisointi</t>
  </si>
  <si>
    <t>Energia lisäaine</t>
  </si>
  <si>
    <t>Energia suojakaasu</t>
  </si>
  <si>
    <t>Sähköenergia kerrostus</t>
  </si>
  <si>
    <t>Energia kerrostus per kg</t>
  </si>
  <si>
    <t>mj/kg</t>
  </si>
  <si>
    <t>Sähköenergia jäähdytys ym</t>
  </si>
  <si>
    <t>Sähköenergia prosessi</t>
  </si>
  <si>
    <t>Sähköenergia koneistus</t>
  </si>
  <si>
    <t>Korjauksen energia, total</t>
  </si>
  <si>
    <t>Uuden osan materiaalin energia</t>
  </si>
  <si>
    <t>Suorakerrostuslaite hankintahinta</t>
  </si>
  <si>
    <t>€</t>
  </si>
  <si>
    <t>Koneistuskeskus hankintahinta</t>
  </si>
  <si>
    <t>Laitteiston amortisointiaika</t>
  </si>
  <si>
    <t>v</t>
  </si>
  <si>
    <t>Laitteiston ylläpitokulu, % hinnasta</t>
  </si>
  <si>
    <t>Suorakerrostuslaite käyttöaste</t>
  </si>
  <si>
    <t>h/v</t>
  </si>
  <si>
    <t>Käytössä 8h/päivä joka työpäivä ilman lomia</t>
  </si>
  <si>
    <t>Koneistuskeskus käyttöaste</t>
  </si>
  <si>
    <t>Operaattorin aika, kerrostus</t>
  </si>
  <si>
    <t>Oletus; laitteen työtä valvotaan 1/3 ajasta, lisäksi yht. tunti valmistelua ja purkua varten</t>
  </si>
  <si>
    <t>Operaattorin aika, koneistus</t>
  </si>
  <si>
    <t>Tuntihinta suorakerrostuslaite</t>
  </si>
  <si>
    <t>€/h</t>
  </si>
  <si>
    <t>Tuntihinta koneistuskeskus</t>
  </si>
  <si>
    <t>€/l</t>
  </si>
  <si>
    <t>Olettaen 20€/m3</t>
  </si>
  <si>
    <t>Hinta Kaasu 2</t>
  </si>
  <si>
    <t>Esimerkki 10€/m3 hiilidioksidille</t>
  </si>
  <si>
    <t>Hinta sähkö</t>
  </si>
  <si>
    <t>€/MJ</t>
  </si>
  <si>
    <t>Olettaen 0.15€/kWh total</t>
  </si>
  <si>
    <t>Tuntihinta operaattori</t>
  </si>
  <si>
    <t>Kulut suorakerrostuslaite</t>
  </si>
  <si>
    <t>Kulut lisäaine</t>
  </si>
  <si>
    <t>Kulut suojakaasu</t>
  </si>
  <si>
    <t>Kulut prosessin sähkö</t>
  </si>
  <si>
    <t>Kulut operaattori (suorakerrostus)</t>
  </si>
  <si>
    <t>Kulut suorakerrostus total</t>
  </si>
  <si>
    <t>Kulu koneistuksen sähkö</t>
  </si>
  <si>
    <t>Kulut operaattori (koneistus)</t>
  </si>
  <si>
    <t>Kulut koneistuslaite</t>
  </si>
  <si>
    <t>Kulut esi/jälkikoneistus</t>
  </si>
  <si>
    <t>Korjauksen hinta, total</t>
  </si>
  <si>
    <t>Kuinka monta kertaa kauemmin korjattu kestää vrt teräs. Stellitelle arvioitu 2x.</t>
  </si>
  <si>
    <t>Oletus aina teräs</t>
  </si>
  <si>
    <t>Alkuperäinen käyttöikä</t>
  </si>
  <si>
    <t>Alkuperäinen elinikä</t>
  </si>
  <si>
    <t>Osan elinikä pinnoituksen jälkeen</t>
  </si>
  <si>
    <t>Uuden osan hinta</t>
  </si>
  <si>
    <t>Korjausten elinkaarikustannus</t>
  </si>
  <si>
    <t>Korjausten kustannus käyttöiän aikana  huomioiden osan eliniän pidennyksen</t>
  </si>
  <si>
    <t>Korjausten elinkaarikustannus ilman pidennystä</t>
  </si>
  <si>
    <t>Korjausten kustannus käyttöiän aikana ilman osan eliniän pidennystä</t>
  </si>
  <si>
    <t>Uusien osien kustannukset käyttöaikana</t>
  </si>
  <si>
    <t>Uudelleenpinnoitusten energia käyttöaikana</t>
  </si>
  <si>
    <t>Uusien osien energia käyttöaikana</t>
  </si>
  <si>
    <t>Elinkaarilaskennan taulukko</t>
  </si>
  <si>
    <t>Alkuperäinen materiaali (syötä tähän käsin alkuperäiselle materiaalille laskettu kustannus yhdelle korjaukselle ja elinkaarikustannuksille)</t>
  </si>
  <si>
    <t>Vuosi</t>
  </si>
  <si>
    <t>Uusi osa</t>
  </si>
  <si>
    <t>DED-Arc alkup.</t>
  </si>
  <si>
    <t>DED-LB/powder alkup.</t>
  </si>
  <si>
    <t>DED-LB/wire alkup.</t>
  </si>
  <si>
    <t>Alkuperäinen materiaali (syötä tähän käsin alkuperäiselle materiaalille laskettu energia yhdelle korjaukselle ja elinkaarienergialle)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</si>
</sst>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quot;_-;\-* #,##0.00\ &quot;€&quot;_-;_-* &quot;-&quot;??\ &quot;€&quot;_-;_-@_-"/>
    <numFmt numFmtId="164" formatCode="0.0"/>
    <numFmt numFmtId="165" formatCode="0.000"/>
    <numFmt numFmtId="166" formatCode="0.000000"/>
    <numFmt numFmtId="167" formatCode="_-* #,##0.00\ [$€-40B]_-;\-* #,##0.00\ [$€-40B]_-;_-* &quot;-&quot;??\ [$€-40B]_-;_-@_-"/>
  </numFmts>
  <fonts count="10">
    <font>
      <sz val="11"/>
      <color theme="1"/>
      <name val="Calibri"/>
      <family val="2"/>
      <scheme val="minor"/>
    </font>
    <font>
      <sz val="11"/>
      <color theme="1"/>
      <name val="Calibri"/>
      <family val="2"/>
      <scheme val="minor"/>
    </font>
    <font>
      <sz val="8"/>
      <name val="Calibri"/>
      <family val="2"/>
      <scheme val="minor"/>
    </font>
    <font>
      <sz val="11"/>
      <color rgb="FFFF0000"/>
      <name val="Calibri"/>
      <family val="2"/>
      <scheme val="minor"/>
    </font>
    <font>
      <sz val="11"/>
      <color theme="0"/>
      <name val="Calibri"/>
      <family val="2"/>
      <scheme val="minor"/>
    </font>
    <font>
      <i/>
      <sz val="10"/>
      <color theme="1"/>
      <name val="Calibri"/>
      <family val="2"/>
      <scheme val="minor"/>
    </font>
    <font>
      <i/>
      <sz val="11"/>
      <color theme="1"/>
      <name val="Calibri"/>
      <family val="2"/>
      <scheme val="minor"/>
    </font>
    <font>
      <b/>
      <sz val="11"/>
      <color theme="1"/>
      <name val="Calibri"/>
      <family val="2"/>
      <scheme val="minor"/>
    </font>
    <font>
      <sz val="14"/>
      <color theme="1"/>
      <name val="Calibri"/>
      <family val="2"/>
      <scheme val="minor"/>
    </font>
    <font>
      <b/>
      <sz val="16"/>
      <color theme="1"/>
      <name val="Calibri"/>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1" tint="0.499984740745262"/>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4">
    <xf numFmtId="0" fontId="0" fillId="0" borderId="0"/>
    <xf numFmtId="9" fontId="1" fillId="0" borderId="0" applyFont="0" applyFill="0" applyBorder="0" applyAlignment="0" applyProtection="0"/>
    <xf numFmtId="44" fontId="1" fillId="0" borderId="0" applyFont="0" applyFill="0" applyBorder="0" applyAlignment="0" applyProtection="0"/>
    <xf numFmtId="0" fontId="3" fillId="0" borderId="0" applyNumberFormat="0" applyFill="0" applyBorder="0" applyAlignment="0" applyProtection="0"/>
  </cellStyleXfs>
  <cellXfs count="179">
    <xf numFmtId="0" fontId="0" fillId="0" borderId="0" xfId="0"/>
    <xf numFmtId="0" fontId="0" fillId="0" borderId="3" xfId="0" applyBorder="1"/>
    <xf numFmtId="0" fontId="0" fillId="0" borderId="4" xfId="0" applyBorder="1"/>
    <xf numFmtId="1" fontId="0" fillId="0" borderId="0" xfId="0" applyNumberFormat="1"/>
    <xf numFmtId="2" fontId="0" fillId="0" borderId="0" xfId="0" applyNumberFormat="1"/>
    <xf numFmtId="0" fontId="0" fillId="2" borderId="0" xfId="0" applyFill="1"/>
    <xf numFmtId="164" fontId="0" fillId="0" borderId="0" xfId="0" applyNumberFormat="1"/>
    <xf numFmtId="0" fontId="0" fillId="3" borderId="0" xfId="0" applyFill="1"/>
    <xf numFmtId="165" fontId="0" fillId="0" borderId="0" xfId="0" applyNumberFormat="1"/>
    <xf numFmtId="166" fontId="0" fillId="0" borderId="0" xfId="0" applyNumberFormat="1"/>
    <xf numFmtId="0" fontId="0" fillId="4" borderId="0" xfId="0" applyFill="1"/>
    <xf numFmtId="1" fontId="0" fillId="3" borderId="0" xfId="0" applyNumberFormat="1" applyFill="1"/>
    <xf numFmtId="9" fontId="0" fillId="3" borderId="0" xfId="0" applyNumberFormat="1" applyFill="1"/>
    <xf numFmtId="3" fontId="0" fillId="3" borderId="0" xfId="0" applyNumberFormat="1" applyFill="1"/>
    <xf numFmtId="2" fontId="0" fillId="3" borderId="0" xfId="0" applyNumberFormat="1" applyFill="1"/>
    <xf numFmtId="0" fontId="0" fillId="5" borderId="0" xfId="0" applyFill="1"/>
    <xf numFmtId="9" fontId="0" fillId="5" borderId="0" xfId="1" applyFont="1" applyFill="1" applyBorder="1" applyAlignment="1"/>
    <xf numFmtId="0" fontId="0" fillId="5" borderId="3" xfId="0" applyFill="1" applyBorder="1"/>
    <xf numFmtId="0" fontId="0" fillId="5" borderId="4" xfId="0" applyFill="1" applyBorder="1"/>
    <xf numFmtId="0" fontId="5" fillId="5" borderId="3" xfId="0" applyFont="1" applyFill="1" applyBorder="1"/>
    <xf numFmtId="0" fontId="0" fillId="5" borderId="6" xfId="0" applyFill="1" applyBorder="1"/>
    <xf numFmtId="9" fontId="0" fillId="5" borderId="7" xfId="1" applyFont="1" applyFill="1" applyBorder="1" applyAlignment="1"/>
    <xf numFmtId="0" fontId="0" fillId="5" borderId="5" xfId="0" applyFill="1" applyBorder="1"/>
    <xf numFmtId="0" fontId="0" fillId="5" borderId="2" xfId="0" applyFill="1" applyBorder="1"/>
    <xf numFmtId="0" fontId="0" fillId="5" borderId="9" xfId="0" applyFill="1" applyBorder="1"/>
    <xf numFmtId="0" fontId="0" fillId="5" borderId="12" xfId="0" applyFill="1" applyBorder="1"/>
    <xf numFmtId="0" fontId="0" fillId="5" borderId="16" xfId="0" applyFill="1" applyBorder="1"/>
    <xf numFmtId="0" fontId="0" fillId="5" borderId="17" xfId="0" applyFill="1" applyBorder="1"/>
    <xf numFmtId="0" fontId="0" fillId="5" borderId="19" xfId="0" applyFill="1" applyBorder="1"/>
    <xf numFmtId="0" fontId="0" fillId="5" borderId="7" xfId="0" applyFill="1" applyBorder="1"/>
    <xf numFmtId="0" fontId="0" fillId="5" borderId="8" xfId="0" applyFill="1" applyBorder="1"/>
    <xf numFmtId="0" fontId="0" fillId="5" borderId="0" xfId="0" applyFill="1" applyAlignment="1">
      <alignment horizontal="center"/>
    </xf>
    <xf numFmtId="0" fontId="0" fillId="5" borderId="10" xfId="0" applyFill="1" applyBorder="1" applyAlignment="1">
      <alignment horizontal="center"/>
    </xf>
    <xf numFmtId="0" fontId="0" fillId="5" borderId="3" xfId="0" applyFill="1" applyBorder="1" applyAlignment="1">
      <alignment horizontal="center"/>
    </xf>
    <xf numFmtId="9" fontId="0" fillId="5" borderId="23" xfId="1" applyFont="1" applyFill="1" applyBorder="1"/>
    <xf numFmtId="0" fontId="0" fillId="5" borderId="10" xfId="0" applyFill="1" applyBorder="1"/>
    <xf numFmtId="0" fontId="0" fillId="5" borderId="25" xfId="0" applyFill="1" applyBorder="1"/>
    <xf numFmtId="0" fontId="3" fillId="5" borderId="0" xfId="3" applyFill="1" applyBorder="1" applyAlignment="1">
      <alignment horizontal="center"/>
    </xf>
    <xf numFmtId="9" fontId="0" fillId="5" borderId="13" xfId="1" applyFont="1" applyFill="1" applyBorder="1" applyAlignment="1"/>
    <xf numFmtId="0" fontId="0" fillId="5" borderId="23" xfId="0" applyFill="1" applyBorder="1"/>
    <xf numFmtId="0" fontId="0" fillId="5" borderId="27" xfId="0" applyFill="1" applyBorder="1"/>
    <xf numFmtId="0" fontId="0" fillId="5" borderId="22" xfId="0" applyFill="1" applyBorder="1"/>
    <xf numFmtId="0" fontId="0" fillId="5" borderId="20" xfId="0" applyFill="1" applyBorder="1"/>
    <xf numFmtId="0" fontId="0" fillId="5" borderId="28" xfId="0" applyFill="1" applyBorder="1"/>
    <xf numFmtId="0" fontId="0" fillId="5" borderId="13" xfId="0" applyFill="1" applyBorder="1"/>
    <xf numFmtId="0" fontId="0" fillId="5" borderId="26" xfId="0" applyFill="1" applyBorder="1"/>
    <xf numFmtId="0" fontId="0" fillId="5" borderId="11" xfId="0" applyFill="1" applyBorder="1"/>
    <xf numFmtId="0" fontId="5" fillId="5" borderId="0" xfId="0" applyFont="1" applyFill="1"/>
    <xf numFmtId="0" fontId="3" fillId="5" borderId="7" xfId="3" applyFill="1" applyBorder="1" applyAlignment="1">
      <alignment horizontal="center"/>
    </xf>
    <xf numFmtId="0" fontId="5" fillId="5" borderId="1" xfId="0" applyFont="1" applyFill="1" applyBorder="1"/>
    <xf numFmtId="0" fontId="0" fillId="5" borderId="15" xfId="0" applyFill="1" applyBorder="1"/>
    <xf numFmtId="0" fontId="0" fillId="5" borderId="9" xfId="0" applyFill="1" applyBorder="1" applyAlignment="1">
      <alignment vertical="center"/>
    </xf>
    <xf numFmtId="0" fontId="4" fillId="5" borderId="4" xfId="0" applyFont="1" applyFill="1" applyBorder="1"/>
    <xf numFmtId="0" fontId="4" fillId="5" borderId="0" xfId="0" applyFont="1" applyFill="1"/>
    <xf numFmtId="0" fontId="4" fillId="5" borderId="7" xfId="0" applyFont="1" applyFill="1" applyBorder="1"/>
    <xf numFmtId="0" fontId="4" fillId="5" borderId="8" xfId="0" applyFont="1" applyFill="1" applyBorder="1"/>
    <xf numFmtId="9" fontId="0" fillId="2" borderId="0" xfId="1" applyFont="1" applyFill="1"/>
    <xf numFmtId="2" fontId="0" fillId="2" borderId="0" xfId="0" applyNumberFormat="1" applyFill="1"/>
    <xf numFmtId="0" fontId="5" fillId="5" borderId="24" xfId="0" applyFont="1" applyFill="1" applyBorder="1"/>
    <xf numFmtId="0" fontId="5" fillId="5" borderId="9" xfId="0" applyFont="1" applyFill="1" applyBorder="1"/>
    <xf numFmtId="9" fontId="0" fillId="0" borderId="3" xfId="1" applyFont="1" applyFill="1" applyBorder="1"/>
    <xf numFmtId="9" fontId="0" fillId="0" borderId="0" xfId="1" applyFont="1" applyFill="1" applyBorder="1"/>
    <xf numFmtId="9" fontId="0" fillId="0" borderId="4" xfId="1" applyFont="1" applyFill="1" applyBorder="1"/>
    <xf numFmtId="0" fontId="0" fillId="4" borderId="4" xfId="0" applyFill="1" applyBorder="1"/>
    <xf numFmtId="0" fontId="0" fillId="4" borderId="3" xfId="0" applyFill="1" applyBorder="1"/>
    <xf numFmtId="2" fontId="0" fillId="0" borderId="3" xfId="0" applyNumberFormat="1" applyBorder="1"/>
    <xf numFmtId="2" fontId="0" fillId="0" borderId="4" xfId="0" applyNumberFormat="1" applyBorder="1"/>
    <xf numFmtId="1" fontId="0" fillId="0" borderId="3" xfId="0" applyNumberFormat="1" applyBorder="1"/>
    <xf numFmtId="2" fontId="0" fillId="4" borderId="0" xfId="0" applyNumberFormat="1" applyFill="1"/>
    <xf numFmtId="2" fontId="0" fillId="4" borderId="3" xfId="0" applyNumberFormat="1" applyFill="1" applyBorder="1"/>
    <xf numFmtId="0" fontId="0" fillId="5" borderId="14" xfId="0" applyFill="1" applyBorder="1"/>
    <xf numFmtId="44" fontId="0" fillId="0" borderId="0" xfId="2" applyFont="1"/>
    <xf numFmtId="2" fontId="0" fillId="0" borderId="0" xfId="0" quotePrefix="1" applyNumberFormat="1"/>
    <xf numFmtId="164" fontId="0" fillId="0" borderId="3" xfId="0" applyNumberFormat="1" applyBorder="1"/>
    <xf numFmtId="164" fontId="0" fillId="0" borderId="4" xfId="0" applyNumberFormat="1" applyBorder="1"/>
    <xf numFmtId="164" fontId="0" fillId="2" borderId="0" xfId="0" applyNumberFormat="1" applyFill="1"/>
    <xf numFmtId="0" fontId="6" fillId="2" borderId="0" xfId="0" applyFont="1" applyFill="1"/>
    <xf numFmtId="3" fontId="0" fillId="5" borderId="0" xfId="0" applyNumberFormat="1" applyFill="1"/>
    <xf numFmtId="164" fontId="0" fillId="3" borderId="0" xfId="0" applyNumberFormat="1" applyFill="1"/>
    <xf numFmtId="0" fontId="6" fillId="0" borderId="0" xfId="0" applyFont="1"/>
    <xf numFmtId="165" fontId="0" fillId="3" borderId="0" xfId="0" applyNumberFormat="1" applyFill="1"/>
    <xf numFmtId="0" fontId="0" fillId="5" borderId="31" xfId="0" applyFill="1" applyBorder="1"/>
    <xf numFmtId="0" fontId="0" fillId="5" borderId="30" xfId="0" applyFill="1" applyBorder="1"/>
    <xf numFmtId="0" fontId="0" fillId="0" borderId="32" xfId="0" applyBorder="1"/>
    <xf numFmtId="0" fontId="0" fillId="2" borderId="12" xfId="0" applyFill="1" applyBorder="1"/>
    <xf numFmtId="0" fontId="0" fillId="3" borderId="26" xfId="0" applyFill="1" applyBorder="1"/>
    <xf numFmtId="0" fontId="0" fillId="0" borderId="1" xfId="0" applyBorder="1"/>
    <xf numFmtId="1" fontId="0" fillId="0" borderId="5" xfId="0" applyNumberFormat="1" applyBorder="1"/>
    <xf numFmtId="0" fontId="0" fillId="0" borderId="2" xfId="0" applyBorder="1"/>
    <xf numFmtId="0" fontId="0" fillId="0" borderId="6" xfId="0" applyBorder="1"/>
    <xf numFmtId="1" fontId="0" fillId="0" borderId="7" xfId="0" applyNumberFormat="1" applyBorder="1"/>
    <xf numFmtId="0" fontId="0" fillId="0" borderId="8" xfId="0" applyBorder="1"/>
    <xf numFmtId="167" fontId="0" fillId="0" borderId="5" xfId="0" applyNumberFormat="1" applyBorder="1"/>
    <xf numFmtId="167" fontId="0" fillId="0" borderId="0" xfId="0" applyNumberFormat="1"/>
    <xf numFmtId="0" fontId="7" fillId="0" borderId="3" xfId="0" applyFont="1" applyBorder="1"/>
    <xf numFmtId="1" fontId="7" fillId="0" borderId="0" xfId="0" applyNumberFormat="1" applyFont="1"/>
    <xf numFmtId="0" fontId="7" fillId="0" borderId="4" xfId="0" applyFont="1" applyBorder="1"/>
    <xf numFmtId="0" fontId="7" fillId="0" borderId="6" xfId="0" applyFont="1" applyBorder="1"/>
    <xf numFmtId="167" fontId="7" fillId="0" borderId="7" xfId="0" applyNumberFormat="1" applyFont="1" applyBorder="1"/>
    <xf numFmtId="0" fontId="7" fillId="0" borderId="8" xfId="0" applyFont="1" applyBorder="1"/>
    <xf numFmtId="0" fontId="0" fillId="0" borderId="41" xfId="0" applyBorder="1"/>
    <xf numFmtId="0" fontId="0" fillId="0" borderId="42" xfId="0" applyBorder="1"/>
    <xf numFmtId="0" fontId="0" fillId="0" borderId="43" xfId="0" applyBorder="1"/>
    <xf numFmtId="0" fontId="0" fillId="0" borderId="7" xfId="0" applyBorder="1"/>
    <xf numFmtId="9" fontId="0" fillId="0" borderId="0" xfId="0" applyNumberFormat="1"/>
    <xf numFmtId="0" fontId="0" fillId="0" borderId="5" xfId="0" applyBorder="1"/>
    <xf numFmtId="0" fontId="0" fillId="3" borderId="3" xfId="0" applyFill="1" applyBorder="1"/>
    <xf numFmtId="0" fontId="0" fillId="3" borderId="4" xfId="0" applyFill="1" applyBorder="1"/>
    <xf numFmtId="0" fontId="0" fillId="3" borderId="6" xfId="0" applyFill="1" applyBorder="1"/>
    <xf numFmtId="0" fontId="0" fillId="3" borderId="7" xfId="0" applyFill="1" applyBorder="1"/>
    <xf numFmtId="0" fontId="0" fillId="3" borderId="8" xfId="0" applyFill="1" applyBorder="1"/>
    <xf numFmtId="167" fontId="0" fillId="0" borderId="3" xfId="0" applyNumberFormat="1" applyBorder="1"/>
    <xf numFmtId="167" fontId="0" fillId="0" borderId="4" xfId="0" applyNumberFormat="1" applyBorder="1"/>
    <xf numFmtId="44" fontId="0" fillId="0" borderId="6" xfId="0" applyNumberFormat="1" applyBorder="1"/>
    <xf numFmtId="44" fontId="0" fillId="0" borderId="7" xfId="0" applyNumberFormat="1" applyBorder="1"/>
    <xf numFmtId="44" fontId="0" fillId="0" borderId="8" xfId="0" applyNumberFormat="1" applyBorder="1"/>
    <xf numFmtId="1" fontId="0" fillId="0" borderId="4" xfId="0" applyNumberFormat="1" applyBorder="1"/>
    <xf numFmtId="1" fontId="0" fillId="0" borderId="6" xfId="0" applyNumberFormat="1" applyBorder="1"/>
    <xf numFmtId="1" fontId="0" fillId="0" borderId="8" xfId="0" applyNumberFormat="1" applyBorder="1"/>
    <xf numFmtId="0" fontId="0" fillId="0" borderId="44" xfId="0" applyBorder="1"/>
    <xf numFmtId="44" fontId="0" fillId="0" borderId="45" xfId="0" applyNumberFormat="1" applyBorder="1"/>
    <xf numFmtId="44" fontId="0" fillId="0" borderId="46" xfId="0" applyNumberFormat="1" applyBorder="1"/>
    <xf numFmtId="1" fontId="0" fillId="0" borderId="45" xfId="0" applyNumberFormat="1" applyBorder="1"/>
    <xf numFmtId="1" fontId="0" fillId="0" borderId="46" xfId="0" applyNumberFormat="1" applyBorder="1"/>
    <xf numFmtId="0" fontId="7" fillId="0" borderId="0" xfId="0" applyFont="1"/>
    <xf numFmtId="0" fontId="0" fillId="5" borderId="0" xfId="0" applyFill="1" applyAlignment="1">
      <alignment vertical="top"/>
    </xf>
    <xf numFmtId="0" fontId="0" fillId="0" borderId="0" xfId="0" applyAlignment="1">
      <alignment vertical="top"/>
    </xf>
    <xf numFmtId="0" fontId="0" fillId="5" borderId="0" xfId="0" applyFill="1" applyAlignment="1">
      <alignment vertical="center"/>
    </xf>
    <xf numFmtId="0" fontId="0" fillId="0" borderId="0" xfId="0" applyAlignment="1">
      <alignment vertical="center"/>
    </xf>
    <xf numFmtId="0" fontId="6" fillId="5" borderId="29" xfId="0" applyFont="1" applyFill="1" applyBorder="1"/>
    <xf numFmtId="0" fontId="6" fillId="5" borderId="0" xfId="0" applyFont="1" applyFill="1"/>
    <xf numFmtId="0" fontId="0" fillId="5" borderId="0" xfId="0" applyFill="1" applyAlignment="1">
      <alignment horizontal="left" vertical="top"/>
    </xf>
    <xf numFmtId="0" fontId="7" fillId="5" borderId="0" xfId="0" applyFont="1" applyFill="1" applyAlignment="1">
      <alignment horizontal="left" vertical="center"/>
    </xf>
    <xf numFmtId="0" fontId="7" fillId="0" borderId="0" xfId="0" applyFont="1" applyAlignment="1">
      <alignment horizontal="left" vertical="center"/>
    </xf>
    <xf numFmtId="0" fontId="9" fillId="5" borderId="0" xfId="0" applyFont="1" applyFill="1" applyAlignment="1">
      <alignment vertical="center"/>
    </xf>
    <xf numFmtId="0" fontId="0" fillId="5" borderId="0" xfId="0" applyFill="1" applyAlignment="1">
      <alignment vertical="top" wrapText="1"/>
    </xf>
    <xf numFmtId="0" fontId="0" fillId="5" borderId="3" xfId="0" applyFill="1" applyBorder="1" applyAlignment="1">
      <alignment vertical="top" wrapText="1"/>
    </xf>
    <xf numFmtId="0" fontId="0" fillId="5" borderId="4" xfId="0" applyFill="1" applyBorder="1" applyAlignment="1">
      <alignment vertical="top" wrapText="1"/>
    </xf>
    <xf numFmtId="0" fontId="8" fillId="5" borderId="0" xfId="0" applyFont="1" applyFill="1" applyAlignment="1">
      <alignment vertical="top" wrapText="1"/>
    </xf>
    <xf numFmtId="0" fontId="0" fillId="5" borderId="1" xfId="0" applyFill="1" applyBorder="1" applyAlignment="1">
      <alignment vertical="top" wrapText="1"/>
    </xf>
    <xf numFmtId="0" fontId="0" fillId="5" borderId="5" xfId="0" applyFill="1" applyBorder="1" applyAlignment="1">
      <alignment vertical="top" wrapText="1"/>
    </xf>
    <xf numFmtId="0" fontId="0" fillId="5" borderId="2" xfId="0" applyFill="1" applyBorder="1" applyAlignment="1">
      <alignment vertical="top" wrapText="1"/>
    </xf>
    <xf numFmtId="0" fontId="0" fillId="5" borderId="7" xfId="0" applyFill="1" applyBorder="1" applyAlignment="1">
      <alignment horizontal="left" vertical="center" wrapText="1"/>
    </xf>
    <xf numFmtId="0" fontId="0" fillId="5" borderId="1" xfId="0" applyFill="1" applyBorder="1" applyAlignment="1">
      <alignment horizontal="center"/>
    </xf>
    <xf numFmtId="0" fontId="0" fillId="5" borderId="5" xfId="0" applyFill="1" applyBorder="1" applyAlignment="1">
      <alignment horizontal="center"/>
    </xf>
    <xf numFmtId="0" fontId="0" fillId="5" borderId="2" xfId="0" applyFill="1" applyBorder="1" applyAlignment="1">
      <alignment horizontal="center"/>
    </xf>
    <xf numFmtId="0" fontId="4" fillId="5" borderId="4" xfId="0" applyFont="1" applyFill="1" applyBorder="1" applyAlignment="1">
      <alignment horizontal="center" vertical="center"/>
    </xf>
    <xf numFmtId="0" fontId="4" fillId="5" borderId="0" xfId="0" applyFont="1" applyFill="1" applyAlignment="1">
      <alignment horizontal="center" vertical="center"/>
    </xf>
    <xf numFmtId="0" fontId="0" fillId="5" borderId="21" xfId="0" applyFill="1" applyBorder="1" applyAlignment="1">
      <alignment horizontal="center" vertical="center"/>
    </xf>
    <xf numFmtId="0" fontId="0" fillId="5" borderId="23" xfId="0" applyFill="1" applyBorder="1" applyAlignment="1">
      <alignment horizontal="center" vertical="center"/>
    </xf>
    <xf numFmtId="0" fontId="0" fillId="5" borderId="0" xfId="0" applyFill="1" applyAlignment="1">
      <alignment horizontal="center" vertical="center"/>
    </xf>
    <xf numFmtId="0" fontId="0" fillId="5" borderId="10" xfId="0" applyFill="1" applyBorder="1" applyAlignment="1">
      <alignment horizontal="center" vertical="center"/>
    </xf>
    <xf numFmtId="0" fontId="3" fillId="5" borderId="29" xfId="3" applyFill="1" applyBorder="1" applyAlignment="1">
      <alignment horizontal="center"/>
    </xf>
    <xf numFmtId="0" fontId="0" fillId="5" borderId="22" xfId="0" applyFill="1" applyBorder="1" applyAlignment="1">
      <alignment horizontal="center" vertical="center"/>
    </xf>
    <xf numFmtId="0" fontId="5" fillId="5" borderId="18" xfId="0" applyFont="1" applyFill="1" applyBorder="1" applyAlignment="1">
      <alignment horizontal="left" vertical="top" wrapText="1"/>
    </xf>
    <xf numFmtId="0" fontId="5" fillId="5" borderId="24" xfId="0" applyFont="1" applyFill="1" applyBorder="1" applyAlignment="1">
      <alignment horizontal="left" vertical="top" wrapText="1"/>
    </xf>
    <xf numFmtId="0" fontId="5" fillId="5" borderId="18" xfId="0" applyFont="1" applyFill="1" applyBorder="1" applyAlignment="1">
      <alignment horizontal="left" vertical="top"/>
    </xf>
    <xf numFmtId="0" fontId="5" fillId="5" borderId="24" xfId="0" applyFont="1" applyFill="1" applyBorder="1" applyAlignment="1">
      <alignment horizontal="left" vertical="top"/>
    </xf>
    <xf numFmtId="0" fontId="0" fillId="5" borderId="19" xfId="0" applyFill="1" applyBorder="1" applyAlignment="1">
      <alignment horizontal="center" vertical="center"/>
    </xf>
    <xf numFmtId="0" fontId="0" fillId="5" borderId="18" xfId="0" applyFill="1" applyBorder="1" applyAlignment="1">
      <alignment horizontal="center" vertical="center"/>
    </xf>
    <xf numFmtId="0" fontId="0" fillId="5" borderId="24" xfId="0" applyFill="1" applyBorder="1" applyAlignment="1">
      <alignment horizontal="center" vertical="center"/>
    </xf>
    <xf numFmtId="0" fontId="0" fillId="0" borderId="1"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0" fontId="0" fillId="5" borderId="3" xfId="0" applyFill="1" applyBorder="1" applyAlignment="1"/>
    <xf numFmtId="0" fontId="0" fillId="5" borderId="0" xfId="0" applyFill="1" applyAlignment="1"/>
    <xf numFmtId="0" fontId="0" fillId="5" borderId="4" xfId="0" applyFill="1" applyBorder="1" applyAlignment="1"/>
    <xf numFmtId="0" fontId="0" fillId="5" borderId="6" xfId="0" applyFill="1" applyBorder="1" applyAlignment="1"/>
    <xf numFmtId="0" fontId="0" fillId="5" borderId="7" xfId="0" applyFill="1" applyBorder="1" applyAlignment="1"/>
    <xf numFmtId="0" fontId="0" fillId="5" borderId="8" xfId="0" applyFill="1" applyBorder="1" applyAlignment="1"/>
    <xf numFmtId="0" fontId="0" fillId="0" borderId="33" xfId="0" applyBorder="1" applyAlignment="1"/>
    <xf numFmtId="0" fontId="0" fillId="0" borderId="15" xfId="0" applyBorder="1" applyAlignment="1"/>
    <xf numFmtId="0" fontId="0" fillId="0" borderId="34" xfId="0" applyBorder="1" applyAlignment="1"/>
    <xf numFmtId="0" fontId="0" fillId="0" borderId="35" xfId="0" applyBorder="1" applyAlignment="1"/>
    <xf numFmtId="0" fontId="0" fillId="0" borderId="36" xfId="0" applyBorder="1" applyAlignment="1"/>
    <xf numFmtId="0" fontId="0" fillId="0" borderId="37" xfId="0" applyBorder="1" applyAlignment="1"/>
    <xf numFmtId="0" fontId="0" fillId="0" borderId="38" xfId="0" applyBorder="1" applyAlignment="1"/>
    <xf numFmtId="0" fontId="0" fillId="0" borderId="39" xfId="0" applyBorder="1" applyAlignment="1"/>
    <xf numFmtId="0" fontId="0" fillId="0" borderId="40" xfId="0" applyBorder="1" applyAlignment="1"/>
  </cellXfs>
  <cellStyles count="4">
    <cellStyle name="Currency" xfId="2" builtinId="4"/>
    <cellStyle name="Normal" xfId="0" builtinId="0"/>
    <cellStyle name="Percent" xfId="1" builtinId="5"/>
    <cellStyle name="Warning Text" xfId="3" builtin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i-FI"/>
        </a:p>
      </c:txPr>
    </c:title>
    <c:autoTitleDeleted val="0"/>
    <c:plotArea>
      <c:layout/>
      <c:barChart>
        <c:barDir val="col"/>
        <c:grouping val="clustered"/>
        <c:varyColors val="0"/>
        <c:ser>
          <c:idx val="0"/>
          <c:order val="0"/>
          <c:tx>
            <c:strRef>
              <c:f>Laskenta!$A$75</c:f>
              <c:strCache>
                <c:ptCount val="1"/>
                <c:pt idx="0">
                  <c:v>Korjauksen energia, total</c:v>
                </c:pt>
              </c:strCache>
            </c:strRef>
          </c:tx>
          <c:spPr>
            <a:solidFill>
              <a:schemeClr val="accent1"/>
            </a:solidFill>
            <a:ln>
              <a:noFill/>
            </a:ln>
            <a:effectLst/>
          </c:spPr>
          <c:invertIfNegative val="0"/>
          <c:cat>
            <c:strRef>
              <c:f>Laskenta!$B$1:$D$1</c:f>
              <c:strCache>
                <c:ptCount val="3"/>
                <c:pt idx="0">
                  <c:v>DED-Arc</c:v>
                </c:pt>
                <c:pt idx="1">
                  <c:v>DED-LB/powder</c:v>
                </c:pt>
                <c:pt idx="2">
                  <c:v>DED-LB/wire</c:v>
                </c:pt>
              </c:strCache>
            </c:strRef>
          </c:cat>
          <c:val>
            <c:numRef>
              <c:f>Laskenta!$B$75:$D$75</c:f>
              <c:numCache>
                <c:formatCode>0</c:formatCode>
                <c:ptCount val="3"/>
                <c:pt idx="0">
                  <c:v>1817.9590832853246</c:v>
                </c:pt>
                <c:pt idx="1">
                  <c:v>3027.2145591353978</c:v>
                </c:pt>
                <c:pt idx="2">
                  <c:v>1517.0703456559906</c:v>
                </c:pt>
              </c:numCache>
            </c:numRef>
          </c:val>
          <c:extLst>
            <c:ext xmlns:c16="http://schemas.microsoft.com/office/drawing/2014/chart" uri="{C3380CC4-5D6E-409C-BE32-E72D297353CC}">
              <c16:uniqueId val="{00000000-DDB1-4BAE-9532-5F56378BC642}"/>
            </c:ext>
          </c:extLst>
        </c:ser>
        <c:dLbls>
          <c:showLegendKey val="0"/>
          <c:showVal val="0"/>
          <c:showCatName val="0"/>
          <c:showSerName val="0"/>
          <c:showPercent val="0"/>
          <c:showBubbleSize val="0"/>
        </c:dLbls>
        <c:gapWidth val="219"/>
        <c:overlap val="-27"/>
        <c:axId val="640700120"/>
        <c:axId val="640699464"/>
      </c:barChart>
      <c:catAx>
        <c:axId val="640700120"/>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i-FI"/>
          </a:p>
        </c:txPr>
        <c:crossAx val="640699464"/>
        <c:crosses val="autoZero"/>
        <c:auto val="1"/>
        <c:lblAlgn val="ctr"/>
        <c:lblOffset val="100"/>
        <c:noMultiLvlLbl val="0"/>
      </c:catAx>
      <c:valAx>
        <c:axId val="6406994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i-FI"/>
          </a:p>
        </c:txPr>
        <c:crossAx val="64070012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Arial" panose="020B0604020202020204" pitchFamily="34" charset="0"/>
          <a:cs typeface="Arial" panose="020B0604020202020204" pitchFamily="34" charset="0"/>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fi-FI"/>
              <a:t>Korjauksen</a:t>
            </a:r>
            <a:r>
              <a:rPr lang="fi-FI" baseline="0"/>
              <a:t> energia, jakauma</a:t>
            </a:r>
            <a:endParaRPr lang="fi-FI"/>
          </a:p>
        </c:rich>
      </c:tx>
      <c:overlay val="0"/>
      <c:spPr>
        <a:noFill/>
        <a:ln>
          <a:noFill/>
        </a:ln>
        <a:effectLst/>
      </c:spPr>
    </c:title>
    <c:autoTitleDeleted val="0"/>
    <c:plotArea>
      <c:layout/>
      <c:barChart>
        <c:barDir val="col"/>
        <c:grouping val="percentStacked"/>
        <c:varyColors val="0"/>
        <c:ser>
          <c:idx val="2"/>
          <c:order val="0"/>
          <c:tx>
            <c:strRef>
              <c:f>Laskenta!$A$73</c:f>
              <c:strCache>
                <c:ptCount val="1"/>
                <c:pt idx="0">
                  <c:v>Sähköenergia koneistus</c:v>
                </c:pt>
              </c:strCache>
            </c:strRef>
          </c:tx>
          <c:invertIfNegative val="0"/>
          <c:cat>
            <c:strRef>
              <c:f>Laskenta!$B$1:$D$1</c:f>
              <c:strCache>
                <c:ptCount val="3"/>
                <c:pt idx="0">
                  <c:v>DED-Arc</c:v>
                </c:pt>
                <c:pt idx="1">
                  <c:v>DED-LB/powder</c:v>
                </c:pt>
                <c:pt idx="2">
                  <c:v>DED-LB/wire</c:v>
                </c:pt>
              </c:strCache>
            </c:strRef>
          </c:cat>
          <c:val>
            <c:numRef>
              <c:f>Laskenta!$B$73:$D$73</c:f>
              <c:numCache>
                <c:formatCode>0.0</c:formatCode>
                <c:ptCount val="3"/>
                <c:pt idx="0">
                  <c:v>64.667213597364267</c:v>
                </c:pt>
                <c:pt idx="1">
                  <c:v>38.654381576121359</c:v>
                </c:pt>
                <c:pt idx="2">
                  <c:v>38.654381576121359</c:v>
                </c:pt>
              </c:numCache>
            </c:numRef>
          </c:val>
          <c:extLst>
            <c:ext xmlns:c16="http://schemas.microsoft.com/office/drawing/2014/chart" uri="{C3380CC4-5D6E-409C-BE32-E72D297353CC}">
              <c16:uniqueId val="{00000000-D2AD-46BA-8823-C18EC57493E1}"/>
            </c:ext>
          </c:extLst>
        </c:ser>
        <c:ser>
          <c:idx val="3"/>
          <c:order val="1"/>
          <c:tx>
            <c:strRef>
              <c:f>Laskenta!$A$72</c:f>
              <c:strCache>
                <c:ptCount val="1"/>
                <c:pt idx="0">
                  <c:v>Sähköenergia prosessi</c:v>
                </c:pt>
              </c:strCache>
            </c:strRef>
          </c:tx>
          <c:spPr>
            <a:ln>
              <a:noFill/>
            </a:ln>
            <a:effectLst/>
          </c:spPr>
          <c:invertIfNegative val="0"/>
          <c:cat>
            <c:strRef>
              <c:f>Laskenta!$B$1:$D$1</c:f>
              <c:strCache>
                <c:ptCount val="3"/>
                <c:pt idx="0">
                  <c:v>DED-Arc</c:v>
                </c:pt>
                <c:pt idx="1">
                  <c:v>DED-LB/powder</c:v>
                </c:pt>
                <c:pt idx="2">
                  <c:v>DED-LB/wire</c:v>
                </c:pt>
              </c:strCache>
            </c:strRef>
          </c:cat>
          <c:val>
            <c:numRef>
              <c:f>Laskenta!$B$72:$D$72</c:f>
              <c:numCache>
                <c:formatCode>0.0</c:formatCode>
                <c:ptCount val="3"/>
                <c:pt idx="0">
                  <c:v>77.460801256873381</c:v>
                </c:pt>
                <c:pt idx="1">
                  <c:v>332.83791864016388</c:v>
                </c:pt>
                <c:pt idx="2">
                  <c:v>227.8277511961731</c:v>
                </c:pt>
              </c:numCache>
            </c:numRef>
          </c:val>
          <c:extLst>
            <c:ext xmlns:c16="http://schemas.microsoft.com/office/drawing/2014/chart" uri="{C3380CC4-5D6E-409C-BE32-E72D297353CC}">
              <c16:uniqueId val="{00000001-D2AD-46BA-8823-C18EC57493E1}"/>
            </c:ext>
          </c:extLst>
        </c:ser>
        <c:ser>
          <c:idx val="1"/>
          <c:order val="2"/>
          <c:tx>
            <c:strRef>
              <c:f>Laskenta!$A$67</c:f>
              <c:strCache>
                <c:ptCount val="1"/>
                <c:pt idx="0">
                  <c:v>Energia suojakaasu</c:v>
                </c:pt>
              </c:strCache>
            </c:strRef>
          </c:tx>
          <c:invertIfNegative val="0"/>
          <c:cat>
            <c:strRef>
              <c:f>Laskenta!$B$1:$D$1</c:f>
              <c:strCache>
                <c:ptCount val="3"/>
                <c:pt idx="0">
                  <c:v>DED-Arc</c:v>
                </c:pt>
                <c:pt idx="1">
                  <c:v>DED-LB/powder</c:v>
                </c:pt>
                <c:pt idx="2">
                  <c:v>DED-LB/wire</c:v>
                </c:pt>
              </c:strCache>
            </c:strRef>
          </c:cat>
          <c:val>
            <c:numRef>
              <c:f>Laskenta!$B$67:$D$67</c:f>
              <c:numCache>
                <c:formatCode>0</c:formatCode>
                <c:ptCount val="3"/>
                <c:pt idx="0">
                  <c:v>42.56087981146888</c:v>
                </c:pt>
                <c:pt idx="1">
                  <c:v>45.899422651183897</c:v>
                </c:pt>
                <c:pt idx="2">
                  <c:v>165.35885167464176</c:v>
                </c:pt>
              </c:numCache>
            </c:numRef>
          </c:val>
          <c:extLst>
            <c:ext xmlns:c16="http://schemas.microsoft.com/office/drawing/2014/chart" uri="{C3380CC4-5D6E-409C-BE32-E72D297353CC}">
              <c16:uniqueId val="{00000002-D2AD-46BA-8823-C18EC57493E1}"/>
            </c:ext>
          </c:extLst>
        </c:ser>
        <c:ser>
          <c:idx val="0"/>
          <c:order val="3"/>
          <c:tx>
            <c:strRef>
              <c:f>Laskenta!$A$65</c:f>
              <c:strCache>
                <c:ptCount val="1"/>
                <c:pt idx="0">
                  <c:v>Energia lisäaine</c:v>
                </c:pt>
              </c:strCache>
            </c:strRef>
          </c:tx>
          <c:spPr>
            <a:ln>
              <a:noFill/>
            </a:ln>
            <a:effectLst/>
          </c:spPr>
          <c:invertIfNegative val="0"/>
          <c:cat>
            <c:strRef>
              <c:f>Laskenta!$B$1:$D$1</c:f>
              <c:strCache>
                <c:ptCount val="3"/>
                <c:pt idx="0">
                  <c:v>DED-Arc</c:v>
                </c:pt>
                <c:pt idx="1">
                  <c:v>DED-LB/powder</c:v>
                </c:pt>
                <c:pt idx="2">
                  <c:v>DED-LB/wire</c:v>
                </c:pt>
              </c:strCache>
            </c:strRef>
          </c:cat>
          <c:val>
            <c:numRef>
              <c:f>Laskenta!$B$65:$D$65</c:f>
              <c:numCache>
                <c:formatCode>0</c:formatCode>
                <c:ptCount val="3"/>
                <c:pt idx="0">
                  <c:v>1633.2701886196182</c:v>
                </c:pt>
                <c:pt idx="1">
                  <c:v>2609.8228362679283</c:v>
                </c:pt>
                <c:pt idx="2">
                  <c:v>1085.2293612090546</c:v>
                </c:pt>
              </c:numCache>
            </c:numRef>
          </c:val>
          <c:extLst>
            <c:ext xmlns:c16="http://schemas.microsoft.com/office/drawing/2014/chart" uri="{C3380CC4-5D6E-409C-BE32-E72D297353CC}">
              <c16:uniqueId val="{00000003-D2AD-46BA-8823-C18EC57493E1}"/>
            </c:ext>
          </c:extLst>
        </c:ser>
        <c:dLbls>
          <c:showLegendKey val="0"/>
          <c:showVal val="0"/>
          <c:showCatName val="0"/>
          <c:showSerName val="0"/>
          <c:showPercent val="0"/>
          <c:showBubbleSize val="0"/>
        </c:dLbls>
        <c:gapWidth val="219"/>
        <c:overlap val="100"/>
        <c:axId val="640700120"/>
        <c:axId val="640699464"/>
      </c:barChart>
      <c:catAx>
        <c:axId val="640700120"/>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i-FI"/>
          </a:p>
        </c:txPr>
        <c:crossAx val="640699464"/>
        <c:crosses val="autoZero"/>
        <c:auto val="1"/>
        <c:lblAlgn val="ctr"/>
        <c:lblOffset val="100"/>
        <c:noMultiLvlLbl val="0"/>
      </c:catAx>
      <c:valAx>
        <c:axId val="6406994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i-FI"/>
          </a:p>
        </c:txPr>
        <c:crossAx val="640700120"/>
        <c:crosses val="autoZero"/>
        <c:crossBetween val="between"/>
      </c:valAx>
    </c:plotArea>
    <c:legend>
      <c:legendPos val="b"/>
      <c:overlay val="0"/>
    </c:legend>
    <c:plotVisOnly val="1"/>
    <c:dispBlanksAs val="gap"/>
    <c:showDLblsOverMax val="0"/>
    <c:extLst/>
  </c:chart>
  <c:txPr>
    <a:bodyPr/>
    <a:lstStyle/>
    <a:p>
      <a:pPr>
        <a:defRPr b="1">
          <a:latin typeface="Arial" panose="020B0604020202020204" pitchFamily="34" charset="0"/>
          <a:cs typeface="Arial" panose="020B0604020202020204" pitchFamily="34" charset="0"/>
        </a:defRPr>
      </a:pPr>
      <a:endParaRPr lang="fi-F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fi-FI"/>
              <a:t>Elinkaarienergia</a:t>
            </a:r>
          </a:p>
        </c:rich>
      </c:tx>
      <c:overlay val="0"/>
      <c:spPr>
        <a:noFill/>
        <a:ln>
          <a:noFill/>
        </a:ln>
        <a:effectLst/>
      </c:spPr>
    </c:title>
    <c:autoTitleDeleted val="0"/>
    <c:plotArea>
      <c:layout/>
      <c:scatterChart>
        <c:scatterStyle val="lineMarker"/>
        <c:varyColors val="0"/>
        <c:ser>
          <c:idx val="0"/>
          <c:order val="0"/>
          <c:tx>
            <c:strRef>
              <c:f>Laskenta!$B$130</c:f>
              <c:strCache>
                <c:ptCount val="1"/>
                <c:pt idx="0">
                  <c:v>DED-Arc</c:v>
                </c:pt>
              </c:strCache>
            </c:strRef>
          </c:tx>
          <c:xVal>
            <c:numRef>
              <c:f>Laskenta!$A$131:$A$132</c:f>
              <c:numCache>
                <c:formatCode>General</c:formatCode>
                <c:ptCount val="2"/>
                <c:pt idx="0">
                  <c:v>2</c:v>
                </c:pt>
                <c:pt idx="1">
                  <c:v>10</c:v>
                </c:pt>
              </c:numCache>
            </c:numRef>
          </c:xVal>
          <c:yVal>
            <c:numRef>
              <c:f>Laskenta!$B$131:$B$132</c:f>
              <c:numCache>
                <c:formatCode>0</c:formatCode>
                <c:ptCount val="2"/>
                <c:pt idx="0">
                  <c:v>1817.9590832853246</c:v>
                </c:pt>
                <c:pt idx="1">
                  <c:v>4544.8977082133115</c:v>
                </c:pt>
              </c:numCache>
            </c:numRef>
          </c:yVal>
          <c:smooth val="0"/>
          <c:extLst>
            <c:ext xmlns:c16="http://schemas.microsoft.com/office/drawing/2014/chart" uri="{C3380CC4-5D6E-409C-BE32-E72D297353CC}">
              <c16:uniqueId val="{00000000-67E5-473B-AA69-927DBB01927F}"/>
            </c:ext>
          </c:extLst>
        </c:ser>
        <c:ser>
          <c:idx val="4"/>
          <c:order val="1"/>
          <c:tx>
            <c:strRef>
              <c:f>Laskenta!$C$130</c:f>
              <c:strCache>
                <c:ptCount val="1"/>
                <c:pt idx="0">
                  <c:v>DED-LB/powder</c:v>
                </c:pt>
              </c:strCache>
            </c:strRef>
          </c:tx>
          <c:xVal>
            <c:numRef>
              <c:f>Laskenta!$A$131:$A$132</c:f>
              <c:numCache>
                <c:formatCode>General</c:formatCode>
                <c:ptCount val="2"/>
                <c:pt idx="0">
                  <c:v>2</c:v>
                </c:pt>
                <c:pt idx="1">
                  <c:v>10</c:v>
                </c:pt>
              </c:numCache>
            </c:numRef>
          </c:xVal>
          <c:yVal>
            <c:numRef>
              <c:f>Laskenta!$C$131:$C$132</c:f>
              <c:numCache>
                <c:formatCode>0</c:formatCode>
                <c:ptCount val="2"/>
                <c:pt idx="0">
                  <c:v>3027.2145591353978</c:v>
                </c:pt>
                <c:pt idx="1">
                  <c:v>7568.0363978384948</c:v>
                </c:pt>
              </c:numCache>
            </c:numRef>
          </c:yVal>
          <c:smooth val="0"/>
          <c:extLst>
            <c:ext xmlns:c16="http://schemas.microsoft.com/office/drawing/2014/chart" uri="{C3380CC4-5D6E-409C-BE32-E72D297353CC}">
              <c16:uniqueId val="{00000001-67E5-473B-AA69-927DBB01927F}"/>
            </c:ext>
          </c:extLst>
        </c:ser>
        <c:ser>
          <c:idx val="5"/>
          <c:order val="2"/>
          <c:tx>
            <c:strRef>
              <c:f>Laskenta!$D$130</c:f>
              <c:strCache>
                <c:ptCount val="1"/>
                <c:pt idx="0">
                  <c:v>DED-LB/wire</c:v>
                </c:pt>
              </c:strCache>
            </c:strRef>
          </c:tx>
          <c:xVal>
            <c:numRef>
              <c:f>Laskenta!$A$131:$A$132</c:f>
              <c:numCache>
                <c:formatCode>General</c:formatCode>
                <c:ptCount val="2"/>
                <c:pt idx="0">
                  <c:v>2</c:v>
                </c:pt>
                <c:pt idx="1">
                  <c:v>10</c:v>
                </c:pt>
              </c:numCache>
            </c:numRef>
          </c:xVal>
          <c:yVal>
            <c:numRef>
              <c:f>Laskenta!$D$131:$D$132</c:f>
              <c:numCache>
                <c:formatCode>0</c:formatCode>
                <c:ptCount val="2"/>
                <c:pt idx="0">
                  <c:v>1517.0703456559906</c:v>
                </c:pt>
                <c:pt idx="1">
                  <c:v>3792.6758641399765</c:v>
                </c:pt>
              </c:numCache>
            </c:numRef>
          </c:yVal>
          <c:smooth val="0"/>
          <c:extLst>
            <c:ext xmlns:c16="http://schemas.microsoft.com/office/drawing/2014/chart" uri="{C3380CC4-5D6E-409C-BE32-E72D297353CC}">
              <c16:uniqueId val="{00000002-67E5-473B-AA69-927DBB01927F}"/>
            </c:ext>
          </c:extLst>
        </c:ser>
        <c:ser>
          <c:idx val="2"/>
          <c:order val="3"/>
          <c:tx>
            <c:strRef>
              <c:f>Laskenta!$F$130</c:f>
              <c:strCache>
                <c:ptCount val="1"/>
                <c:pt idx="0">
                  <c:v>DED-Arc alkup.</c:v>
                </c:pt>
              </c:strCache>
            </c:strRef>
          </c:tx>
          <c:xVal>
            <c:numRef>
              <c:f>Laskenta!$A$131:$A$132</c:f>
              <c:numCache>
                <c:formatCode>General</c:formatCode>
                <c:ptCount val="2"/>
                <c:pt idx="0">
                  <c:v>2</c:v>
                </c:pt>
                <c:pt idx="1">
                  <c:v>10</c:v>
                </c:pt>
              </c:numCache>
            </c:numRef>
          </c:xVal>
          <c:yVal>
            <c:numRef>
              <c:f>Laskenta!$F$131:$F$132</c:f>
              <c:numCache>
                <c:formatCode>General</c:formatCode>
                <c:ptCount val="2"/>
              </c:numCache>
            </c:numRef>
          </c:yVal>
          <c:smooth val="0"/>
          <c:extLst>
            <c:ext xmlns:c16="http://schemas.microsoft.com/office/drawing/2014/chart" uri="{C3380CC4-5D6E-409C-BE32-E72D297353CC}">
              <c16:uniqueId val="{00000003-67E5-473B-AA69-927DBB01927F}"/>
            </c:ext>
          </c:extLst>
        </c:ser>
        <c:ser>
          <c:idx val="3"/>
          <c:order val="4"/>
          <c:tx>
            <c:strRef>
              <c:f>Laskenta!$G$130</c:f>
              <c:strCache>
                <c:ptCount val="1"/>
                <c:pt idx="0">
                  <c:v>DED-LB/powder alkup.</c:v>
                </c:pt>
              </c:strCache>
            </c:strRef>
          </c:tx>
          <c:xVal>
            <c:numRef>
              <c:f>Laskenta!$A$131:$A$132</c:f>
              <c:numCache>
                <c:formatCode>General</c:formatCode>
                <c:ptCount val="2"/>
                <c:pt idx="0">
                  <c:v>2</c:v>
                </c:pt>
                <c:pt idx="1">
                  <c:v>10</c:v>
                </c:pt>
              </c:numCache>
            </c:numRef>
          </c:xVal>
          <c:yVal>
            <c:numRef>
              <c:f>Laskenta!$G$131:$G$132</c:f>
              <c:numCache>
                <c:formatCode>General</c:formatCode>
                <c:ptCount val="2"/>
              </c:numCache>
            </c:numRef>
          </c:yVal>
          <c:smooth val="0"/>
          <c:extLst>
            <c:ext xmlns:c16="http://schemas.microsoft.com/office/drawing/2014/chart" uri="{C3380CC4-5D6E-409C-BE32-E72D297353CC}">
              <c16:uniqueId val="{00000004-67E5-473B-AA69-927DBB01927F}"/>
            </c:ext>
          </c:extLst>
        </c:ser>
        <c:ser>
          <c:idx val="1"/>
          <c:order val="5"/>
          <c:tx>
            <c:strRef>
              <c:f>Laskenta!$H$130</c:f>
              <c:strCache>
                <c:ptCount val="1"/>
                <c:pt idx="0">
                  <c:v>DED-LB/wire alkup.</c:v>
                </c:pt>
              </c:strCache>
            </c:strRef>
          </c:tx>
          <c:xVal>
            <c:numRef>
              <c:f>Laskenta!$A$131:$A$132</c:f>
              <c:numCache>
                <c:formatCode>General</c:formatCode>
                <c:ptCount val="2"/>
                <c:pt idx="0">
                  <c:v>2</c:v>
                </c:pt>
                <c:pt idx="1">
                  <c:v>10</c:v>
                </c:pt>
              </c:numCache>
            </c:numRef>
          </c:xVal>
          <c:yVal>
            <c:numRef>
              <c:f>Laskenta!$H$131:$H$132</c:f>
              <c:numCache>
                <c:formatCode>General</c:formatCode>
                <c:ptCount val="2"/>
              </c:numCache>
            </c:numRef>
          </c:yVal>
          <c:smooth val="0"/>
          <c:extLst>
            <c:ext xmlns:c16="http://schemas.microsoft.com/office/drawing/2014/chart" uri="{C3380CC4-5D6E-409C-BE32-E72D297353CC}">
              <c16:uniqueId val="{00000005-67E5-473B-AA69-927DBB01927F}"/>
            </c:ext>
          </c:extLst>
        </c:ser>
        <c:ser>
          <c:idx val="6"/>
          <c:order val="6"/>
          <c:tx>
            <c:strRef>
              <c:f>Laskenta!$E$130</c:f>
              <c:strCache>
                <c:ptCount val="1"/>
                <c:pt idx="0">
                  <c:v>Uusi osa</c:v>
                </c:pt>
              </c:strCache>
            </c:strRef>
          </c:tx>
          <c:spPr>
            <a:ln w="53975" cmpd="tri">
              <a:solidFill>
                <a:schemeClr val="accent1">
                  <a:tint val="77000"/>
                  <a:alpha val="80000"/>
                </a:schemeClr>
              </a:solidFill>
            </a:ln>
          </c:spPr>
          <c:xVal>
            <c:numRef>
              <c:f>Laskenta!$A$131:$A$132</c:f>
              <c:numCache>
                <c:formatCode>General</c:formatCode>
                <c:ptCount val="2"/>
                <c:pt idx="0">
                  <c:v>2</c:v>
                </c:pt>
                <c:pt idx="1">
                  <c:v>10</c:v>
                </c:pt>
              </c:numCache>
            </c:numRef>
          </c:xVal>
          <c:yVal>
            <c:numRef>
              <c:f>Laskenta!$E$131:$E$132</c:f>
              <c:numCache>
                <c:formatCode>0</c:formatCode>
                <c:ptCount val="2"/>
                <c:pt idx="0">
                  <c:v>27177.289727674583</c:v>
                </c:pt>
                <c:pt idx="1">
                  <c:v>135886.44863837291</c:v>
                </c:pt>
              </c:numCache>
            </c:numRef>
          </c:yVal>
          <c:smooth val="0"/>
          <c:extLst>
            <c:ext xmlns:c16="http://schemas.microsoft.com/office/drawing/2014/chart" uri="{C3380CC4-5D6E-409C-BE32-E72D297353CC}">
              <c16:uniqueId val="{00000006-67E5-473B-AA69-927DBB01927F}"/>
            </c:ext>
          </c:extLst>
        </c:ser>
        <c:dLbls>
          <c:showLegendKey val="0"/>
          <c:showVal val="0"/>
          <c:showCatName val="0"/>
          <c:showSerName val="0"/>
          <c:showPercent val="0"/>
          <c:showBubbleSize val="0"/>
        </c:dLbls>
        <c:axId val="525609400"/>
        <c:axId val="525610056"/>
      </c:scatterChart>
      <c:valAx>
        <c:axId val="525609400"/>
        <c:scaling>
          <c:orientation val="minMax"/>
        </c:scaling>
        <c:delete val="0"/>
        <c:axPos val="b"/>
        <c:title>
          <c:tx>
            <c:rich>
              <a:bodyPr/>
              <a:lstStyle/>
              <a:p>
                <a:pPr>
                  <a:defRPr/>
                </a:pPr>
                <a:r>
                  <a:rPr lang="fi-FI"/>
                  <a:t>Vuotta</a:t>
                </a:r>
              </a:p>
            </c:rich>
          </c:tx>
          <c:overlay val="0"/>
        </c:title>
        <c:numFmt formatCode="General" sourceLinked="1"/>
        <c:majorTickMark val="none"/>
        <c:minorTickMark val="none"/>
        <c:tickLblPos val="nextTo"/>
        <c:spPr>
          <a:noFill/>
          <a:ln w="9525" cap="flat" cmpd="sng" algn="ctr">
            <a:noFill/>
            <a:round/>
          </a:ln>
          <a:effectLst/>
        </c:spPr>
        <c:txPr>
          <a:bodyPr rot="-60000000" vert="horz"/>
          <a:lstStyle/>
          <a:p>
            <a:pPr>
              <a:defRPr/>
            </a:pPr>
            <a:endParaRPr lang="fi-FI"/>
          </a:p>
        </c:txPr>
        <c:crossAx val="525610056"/>
        <c:crosses val="autoZero"/>
        <c:crossBetween val="midCat"/>
      </c:valAx>
      <c:valAx>
        <c:axId val="525610056"/>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a:pPr>
                <a:r>
                  <a:rPr lang="fi-FI"/>
                  <a:t>MJ</a:t>
                </a:r>
              </a:p>
            </c:rich>
          </c:tx>
          <c:overlay val="0"/>
        </c:title>
        <c:numFmt formatCode="General" sourceLinked="0"/>
        <c:majorTickMark val="none"/>
        <c:minorTickMark val="none"/>
        <c:tickLblPos val="nextTo"/>
        <c:spPr>
          <a:noFill/>
          <a:ln w="9525" cap="flat" cmpd="sng" algn="ctr">
            <a:noFill/>
            <a:round/>
          </a:ln>
          <a:effectLst/>
        </c:spPr>
        <c:txPr>
          <a:bodyPr rot="-60000000" vert="horz"/>
          <a:lstStyle/>
          <a:p>
            <a:pPr>
              <a:defRPr/>
            </a:pPr>
            <a:endParaRPr lang="fi-FI"/>
          </a:p>
        </c:txPr>
        <c:crossAx val="525609400"/>
        <c:crosses val="autoZero"/>
        <c:crossBetween val="midCat"/>
      </c:valAx>
    </c:plotArea>
    <c:legend>
      <c:legendPos val="b"/>
      <c:overlay val="0"/>
      <c:spPr>
        <a:noFill/>
        <a:ln>
          <a:noFill/>
        </a:ln>
        <a:effectLst/>
      </c:spPr>
      <c:txPr>
        <a:bodyPr rot="0" vert="horz"/>
        <a:lstStyle/>
        <a:p>
          <a:pPr>
            <a:defRPr/>
          </a:pPr>
          <a:endParaRPr lang="fi-FI"/>
        </a:p>
      </c:txPr>
    </c:legend>
    <c:plotVisOnly val="1"/>
    <c:dispBlanksAs val="gap"/>
    <c:showDLblsOverMax val="0"/>
    <c:extLst/>
  </c:chart>
  <c:txPr>
    <a:bodyPr/>
    <a:lstStyle/>
    <a:p>
      <a:pPr>
        <a:defRPr b="1">
          <a:latin typeface="Arial" panose="020B0604020202020204" pitchFamily="34" charset="0"/>
          <a:cs typeface="Arial" panose="020B0604020202020204" pitchFamily="34" charset="0"/>
        </a:defRPr>
      </a:pPr>
      <a:endParaRPr lang="fi-F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i-FI"/>
        </a:p>
      </c:txPr>
    </c:title>
    <c:autoTitleDeleted val="0"/>
    <c:plotArea>
      <c:layout/>
      <c:barChart>
        <c:barDir val="col"/>
        <c:grouping val="clustered"/>
        <c:varyColors val="0"/>
        <c:ser>
          <c:idx val="0"/>
          <c:order val="0"/>
          <c:tx>
            <c:strRef>
              <c:f>Laskenta!$A$108</c:f>
              <c:strCache>
                <c:ptCount val="1"/>
                <c:pt idx="0">
                  <c:v>Korjauksen hinta, total</c:v>
                </c:pt>
              </c:strCache>
            </c:strRef>
          </c:tx>
          <c:spPr>
            <a:solidFill>
              <a:schemeClr val="accent1"/>
            </a:solidFill>
            <a:ln>
              <a:noFill/>
            </a:ln>
            <a:effectLst/>
          </c:spPr>
          <c:invertIfNegative val="0"/>
          <c:cat>
            <c:strRef>
              <c:f>Laskenta!$B$1:$D$1</c:f>
              <c:strCache>
                <c:ptCount val="3"/>
                <c:pt idx="0">
                  <c:v>DED-Arc</c:v>
                </c:pt>
                <c:pt idx="1">
                  <c:v>DED-LB/powder</c:v>
                </c:pt>
                <c:pt idx="2">
                  <c:v>DED-LB/wire</c:v>
                </c:pt>
              </c:strCache>
            </c:strRef>
          </c:cat>
          <c:val>
            <c:numRef>
              <c:f>Laskenta!$B$108:$D$108</c:f>
              <c:numCache>
                <c:formatCode>_-* #,##0.00\ [$€-40B]_-;\-* #,##0.00\ [$€-40B]_-;_-* "-"??\ [$€-40B]_-;_-@_-</c:formatCode>
                <c:ptCount val="3"/>
                <c:pt idx="0">
                  <c:v>1121.5858494949882</c:v>
                </c:pt>
                <c:pt idx="1">
                  <c:v>2863.9996749163588</c:v>
                </c:pt>
                <c:pt idx="2">
                  <c:v>1546.0882950356649</c:v>
                </c:pt>
              </c:numCache>
            </c:numRef>
          </c:val>
          <c:extLst>
            <c:ext xmlns:c16="http://schemas.microsoft.com/office/drawing/2014/chart" uri="{C3380CC4-5D6E-409C-BE32-E72D297353CC}">
              <c16:uniqueId val="{00000000-3C15-4928-93E7-02C2908A471E}"/>
            </c:ext>
          </c:extLst>
        </c:ser>
        <c:dLbls>
          <c:showLegendKey val="0"/>
          <c:showVal val="0"/>
          <c:showCatName val="0"/>
          <c:showSerName val="0"/>
          <c:showPercent val="0"/>
          <c:showBubbleSize val="0"/>
        </c:dLbls>
        <c:gapWidth val="219"/>
        <c:overlap val="-27"/>
        <c:axId val="640700120"/>
        <c:axId val="640699464"/>
      </c:barChart>
      <c:catAx>
        <c:axId val="640700120"/>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i-FI"/>
          </a:p>
        </c:txPr>
        <c:crossAx val="640699464"/>
        <c:crosses val="autoZero"/>
        <c:auto val="1"/>
        <c:lblAlgn val="ctr"/>
        <c:lblOffset val="100"/>
        <c:noMultiLvlLbl val="0"/>
      </c:catAx>
      <c:valAx>
        <c:axId val="640699464"/>
        <c:scaling>
          <c:orientation val="minMax"/>
        </c:scaling>
        <c:delete val="0"/>
        <c:axPos val="l"/>
        <c:majorGridlines>
          <c:spPr>
            <a:ln w="9525" cap="flat" cmpd="sng" algn="ctr">
              <a:solidFill>
                <a:schemeClr val="tx1">
                  <a:lumMod val="15000"/>
                  <a:lumOff val="85000"/>
                </a:schemeClr>
              </a:solidFill>
              <a:round/>
            </a:ln>
            <a:effectLst/>
          </c:spPr>
        </c:majorGridlines>
        <c:numFmt formatCode="_-* #,##0.00\ [$€-40B]_-;\-* #,##0.00\ [$€-40B]_-;_-* &quot;-&quot;??\ [$€-40B]_-;_-@_-"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i-FI"/>
          </a:p>
        </c:txPr>
        <c:crossAx val="64070012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b="1">
          <a:latin typeface="Arial" panose="020B0604020202020204" pitchFamily="34" charset="0"/>
          <a:cs typeface="Arial" panose="020B0604020202020204" pitchFamily="34" charset="0"/>
        </a:defRPr>
      </a:pPr>
      <a:endParaRPr lang="fi-F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fi-FI"/>
              <a:t>Korjauksen</a:t>
            </a:r>
            <a:r>
              <a:rPr lang="fi-FI" baseline="0"/>
              <a:t> kulut, jakauma</a:t>
            </a:r>
            <a:endParaRPr lang="fi-FI"/>
          </a:p>
        </c:rich>
      </c:tx>
      <c:overlay val="0"/>
      <c:spPr>
        <a:noFill/>
        <a:ln>
          <a:noFill/>
        </a:ln>
        <a:effectLst/>
      </c:spPr>
    </c:title>
    <c:autoTitleDeleted val="0"/>
    <c:plotArea>
      <c:layout/>
      <c:barChart>
        <c:barDir val="col"/>
        <c:grouping val="percentStacked"/>
        <c:varyColors val="0"/>
        <c:ser>
          <c:idx val="4"/>
          <c:order val="0"/>
          <c:tx>
            <c:strRef>
              <c:f>Laskenta!$A$99</c:f>
              <c:strCache>
                <c:ptCount val="1"/>
                <c:pt idx="0">
                  <c:v>Kulut prosessin sähkö</c:v>
                </c:pt>
              </c:strCache>
            </c:strRef>
          </c:tx>
          <c:invertIfNegative val="0"/>
          <c:cat>
            <c:strRef>
              <c:f>Laskenta!$B$1:$D$1</c:f>
              <c:strCache>
                <c:ptCount val="3"/>
                <c:pt idx="0">
                  <c:v>DED-Arc</c:v>
                </c:pt>
                <c:pt idx="1">
                  <c:v>DED-LB/powder</c:v>
                </c:pt>
                <c:pt idx="2">
                  <c:v>DED-LB/wire</c:v>
                </c:pt>
              </c:strCache>
            </c:strRef>
          </c:cat>
          <c:val>
            <c:numRef>
              <c:f>Laskenta!$B$99:$D$99</c:f>
              <c:numCache>
                <c:formatCode>_-* #,##0.00\ [$€-40B]_-;\-* #,##0.00\ [$€-40B]_-;_-* "-"??\ [$€-40B]_-;_-@_-</c:formatCode>
                <c:ptCount val="3"/>
                <c:pt idx="0">
                  <c:v>3.2275333857030573</c:v>
                </c:pt>
                <c:pt idx="1">
                  <c:v>13.868246610006828</c:v>
                </c:pt>
                <c:pt idx="2">
                  <c:v>9.4928229665072124</c:v>
                </c:pt>
              </c:numCache>
            </c:numRef>
          </c:val>
          <c:extLst>
            <c:ext xmlns:c16="http://schemas.microsoft.com/office/drawing/2014/chart" uri="{C3380CC4-5D6E-409C-BE32-E72D297353CC}">
              <c16:uniqueId val="{00000000-2A63-480C-B20A-F653B706DB69}"/>
            </c:ext>
          </c:extLst>
        </c:ser>
        <c:ser>
          <c:idx val="7"/>
          <c:order val="1"/>
          <c:tx>
            <c:strRef>
              <c:f>Laskenta!$A$100</c:f>
              <c:strCache>
                <c:ptCount val="1"/>
                <c:pt idx="0">
                  <c:v>Kulut operaattori (suorakerrostus)</c:v>
                </c:pt>
              </c:strCache>
            </c:strRef>
          </c:tx>
          <c:invertIfNegative val="0"/>
          <c:cat>
            <c:strRef>
              <c:f>Laskenta!$B$1:$D$1</c:f>
              <c:strCache>
                <c:ptCount val="3"/>
                <c:pt idx="0">
                  <c:v>DED-Arc</c:v>
                </c:pt>
                <c:pt idx="1">
                  <c:v>DED-LB/powder</c:v>
                </c:pt>
                <c:pt idx="2">
                  <c:v>DED-LB/wire</c:v>
                </c:pt>
              </c:strCache>
            </c:strRef>
          </c:cat>
          <c:val>
            <c:numRef>
              <c:f>Laskenta!$B$100:$D$100</c:f>
              <c:numCache>
                <c:formatCode>_-* #,##0.00\ [$€-40B]_-;\-* #,##0.00\ [$€-40B]_-;_-* "-"??\ [$€-40B]_-;_-@_-</c:formatCode>
                <c:ptCount val="3"/>
                <c:pt idx="0">
                  <c:v>92.544296063541822</c:v>
                </c:pt>
                <c:pt idx="1">
                  <c:v>147.36707052908514</c:v>
                </c:pt>
                <c:pt idx="2">
                  <c:v>223.73205741626862</c:v>
                </c:pt>
              </c:numCache>
            </c:numRef>
          </c:val>
          <c:extLst>
            <c:ext xmlns:c16="http://schemas.microsoft.com/office/drawing/2014/chart" uri="{C3380CC4-5D6E-409C-BE32-E72D297353CC}">
              <c16:uniqueId val="{00000001-2A63-480C-B20A-F653B706DB69}"/>
            </c:ext>
          </c:extLst>
        </c:ser>
        <c:ser>
          <c:idx val="2"/>
          <c:order val="2"/>
          <c:tx>
            <c:strRef>
              <c:f>Laskenta!$A$106</c:f>
              <c:strCache>
                <c:ptCount val="1"/>
                <c:pt idx="0">
                  <c:v>Kulut esi/jälkikoneistus</c:v>
                </c:pt>
              </c:strCache>
            </c:strRef>
          </c:tx>
          <c:invertIfNegative val="0"/>
          <c:cat>
            <c:strRef>
              <c:f>Laskenta!$B$1:$D$1</c:f>
              <c:strCache>
                <c:ptCount val="3"/>
                <c:pt idx="0">
                  <c:v>DED-Arc</c:v>
                </c:pt>
                <c:pt idx="1">
                  <c:v>DED-LB/powder</c:v>
                </c:pt>
                <c:pt idx="2">
                  <c:v>DED-LB/wire</c:v>
                </c:pt>
              </c:strCache>
            </c:strRef>
          </c:cat>
          <c:val>
            <c:numRef>
              <c:f>Laskenta!$B$106:$D$106</c:f>
              <c:numCache>
                <c:formatCode>_-* #,##0.00\ [$€-40B]_-;\-* #,##0.00\ [$€-40B]_-;_-* "-"??\ [$€-40B]_-;_-@_-</c:formatCode>
                <c:ptCount val="3"/>
                <c:pt idx="0">
                  <c:v>125.29471353791624</c:v>
                </c:pt>
                <c:pt idx="1">
                  <c:v>84.349925249202627</c:v>
                </c:pt>
                <c:pt idx="2">
                  <c:v>84.349925249202627</c:v>
                </c:pt>
              </c:numCache>
            </c:numRef>
          </c:val>
          <c:extLst>
            <c:ext xmlns:c16="http://schemas.microsoft.com/office/drawing/2014/chart" uri="{C3380CC4-5D6E-409C-BE32-E72D297353CC}">
              <c16:uniqueId val="{00000002-2A63-480C-B20A-F653B706DB69}"/>
            </c:ext>
          </c:extLst>
        </c:ser>
        <c:ser>
          <c:idx val="3"/>
          <c:order val="3"/>
          <c:tx>
            <c:strRef>
              <c:f>Laskenta!$A$96</c:f>
              <c:strCache>
                <c:ptCount val="1"/>
                <c:pt idx="0">
                  <c:v>Kulut suorakerrostuslaite</c:v>
                </c:pt>
              </c:strCache>
            </c:strRef>
          </c:tx>
          <c:invertIfNegative val="0"/>
          <c:cat>
            <c:strRef>
              <c:f>Laskenta!$B$1:$D$1</c:f>
              <c:strCache>
                <c:ptCount val="3"/>
                <c:pt idx="0">
                  <c:v>DED-Arc</c:v>
                </c:pt>
                <c:pt idx="1">
                  <c:v>DED-LB/powder</c:v>
                </c:pt>
                <c:pt idx="2">
                  <c:v>DED-LB/wire</c:v>
                </c:pt>
              </c:strCache>
            </c:strRef>
          </c:cat>
          <c:val>
            <c:numRef>
              <c:f>Laskenta!$B$96:$D$96</c:f>
              <c:numCache>
                <c:formatCode>_-* #,##0.00\ [$€-40B]_-;\-* #,##0.00\ [$€-40B]_-;_-* "-"??\ [$€-40B]_-;_-@_-</c:formatCode>
                <c:ptCount val="3"/>
                <c:pt idx="0">
                  <c:v>114.94064763899776</c:v>
                </c:pt>
                <c:pt idx="1">
                  <c:v>234.86546678237377</c:v>
                </c:pt>
                <c:pt idx="2">
                  <c:v>401.9138755980876</c:v>
                </c:pt>
              </c:numCache>
            </c:numRef>
          </c:val>
          <c:extLst>
            <c:ext xmlns:c16="http://schemas.microsoft.com/office/drawing/2014/chart" uri="{C3380CC4-5D6E-409C-BE32-E72D297353CC}">
              <c16:uniqueId val="{00000003-2A63-480C-B20A-F653B706DB69}"/>
            </c:ext>
          </c:extLst>
        </c:ser>
        <c:ser>
          <c:idx val="1"/>
          <c:order val="4"/>
          <c:tx>
            <c:strRef>
              <c:f>Laskenta!$A$98</c:f>
              <c:strCache>
                <c:ptCount val="1"/>
                <c:pt idx="0">
                  <c:v>Kulut suojakaasu</c:v>
                </c:pt>
              </c:strCache>
            </c:strRef>
          </c:tx>
          <c:invertIfNegative val="0"/>
          <c:cat>
            <c:strRef>
              <c:f>Laskenta!$B$1:$D$1</c:f>
              <c:strCache>
                <c:ptCount val="3"/>
                <c:pt idx="0">
                  <c:v>DED-Arc</c:v>
                </c:pt>
                <c:pt idx="1">
                  <c:v>DED-LB/powder</c:v>
                </c:pt>
                <c:pt idx="2">
                  <c:v>DED-LB/wire</c:v>
                </c:pt>
              </c:strCache>
            </c:strRef>
          </c:cat>
          <c:val>
            <c:numRef>
              <c:f>Laskenta!$B$98:$D$98</c:f>
              <c:numCache>
                <c:formatCode>_-* #,##0.00\ [$€-40B]_-;\-* #,##0.00\ [$€-40B]_-;_-* "-"??\ [$€-40B]_-;_-@_-</c:formatCode>
                <c:ptCount val="3"/>
                <c:pt idx="0">
                  <c:v>94.579732914375299</c:v>
                </c:pt>
                <c:pt idx="1">
                  <c:v>101.9987170026309</c:v>
                </c:pt>
                <c:pt idx="2">
                  <c:v>367.46411483253723</c:v>
                </c:pt>
              </c:numCache>
            </c:numRef>
          </c:val>
          <c:extLst>
            <c:ext xmlns:c16="http://schemas.microsoft.com/office/drawing/2014/chart" uri="{C3380CC4-5D6E-409C-BE32-E72D297353CC}">
              <c16:uniqueId val="{00000004-2A63-480C-B20A-F653B706DB69}"/>
            </c:ext>
          </c:extLst>
        </c:ser>
        <c:ser>
          <c:idx val="0"/>
          <c:order val="5"/>
          <c:tx>
            <c:strRef>
              <c:f>Laskenta!$A$97</c:f>
              <c:strCache>
                <c:ptCount val="1"/>
                <c:pt idx="0">
                  <c:v>Kulut lisäaine</c:v>
                </c:pt>
              </c:strCache>
            </c:strRef>
          </c:tx>
          <c:invertIfNegative val="0"/>
          <c:cat>
            <c:strRef>
              <c:f>Laskenta!$B$1:$D$1</c:f>
              <c:strCache>
                <c:ptCount val="3"/>
                <c:pt idx="0">
                  <c:v>DED-Arc</c:v>
                </c:pt>
                <c:pt idx="1">
                  <c:v>DED-LB/powder</c:v>
                </c:pt>
                <c:pt idx="2">
                  <c:v>DED-LB/wire</c:v>
                </c:pt>
              </c:strCache>
            </c:strRef>
          </c:cat>
          <c:val>
            <c:numRef>
              <c:f>Laskenta!$B$97:$D$97</c:f>
              <c:numCache>
                <c:formatCode>_-* #,##0.00\ [$€-40B]_-;\-* #,##0.00\ [$€-40B]_-;_-* "-"??\ [$€-40B]_-;_-@_-</c:formatCode>
                <c:ptCount val="3"/>
                <c:pt idx="0">
                  <c:v>690.99892595445385</c:v>
                </c:pt>
                <c:pt idx="1">
                  <c:v>2281.5502487430595</c:v>
                </c:pt>
                <c:pt idx="2">
                  <c:v>459.13549897306149</c:v>
                </c:pt>
              </c:numCache>
            </c:numRef>
          </c:val>
          <c:extLst>
            <c:ext xmlns:c16="http://schemas.microsoft.com/office/drawing/2014/chart" uri="{C3380CC4-5D6E-409C-BE32-E72D297353CC}">
              <c16:uniqueId val="{00000005-2A63-480C-B20A-F653B706DB69}"/>
            </c:ext>
          </c:extLst>
        </c:ser>
        <c:dLbls>
          <c:showLegendKey val="0"/>
          <c:showVal val="0"/>
          <c:showCatName val="0"/>
          <c:showSerName val="0"/>
          <c:showPercent val="0"/>
          <c:showBubbleSize val="0"/>
        </c:dLbls>
        <c:gapWidth val="219"/>
        <c:overlap val="100"/>
        <c:axId val="640700120"/>
        <c:axId val="640699464"/>
      </c:barChart>
      <c:catAx>
        <c:axId val="640700120"/>
        <c:scaling>
          <c:orientation val="minMax"/>
        </c:scaling>
        <c:delete val="0"/>
        <c:axPos val="b"/>
        <c:numFmt formatCode="General" sourceLinked="1"/>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i-FI"/>
          </a:p>
        </c:txPr>
        <c:crossAx val="640699464"/>
        <c:crosses val="autoZero"/>
        <c:auto val="1"/>
        <c:lblAlgn val="ctr"/>
        <c:lblOffset val="100"/>
        <c:noMultiLvlLbl val="0"/>
      </c:catAx>
      <c:valAx>
        <c:axId val="64069946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fi-FI"/>
          </a:p>
        </c:txPr>
        <c:crossAx val="640700120"/>
        <c:crosses val="autoZero"/>
        <c:crossBetween val="between"/>
      </c:valAx>
    </c:plotArea>
    <c:legend>
      <c:legendPos val="b"/>
      <c:overlay val="0"/>
    </c:legend>
    <c:plotVisOnly val="1"/>
    <c:dispBlanksAs val="gap"/>
    <c:showDLblsOverMax val="0"/>
    <c:extLst/>
  </c:chart>
  <c:txPr>
    <a:bodyPr/>
    <a:lstStyle/>
    <a:p>
      <a:pPr>
        <a:defRPr b="1">
          <a:latin typeface="Arial" panose="020B0604020202020204" pitchFamily="34" charset="0"/>
          <a:cs typeface="Arial" panose="020B0604020202020204" pitchFamily="34" charset="0"/>
        </a:defRPr>
      </a:pPr>
      <a:endParaRPr lang="fi-F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vert="horz"/>
          <a:lstStyle/>
          <a:p>
            <a:pPr>
              <a:defRPr/>
            </a:pPr>
            <a:r>
              <a:rPr lang="fi-FI"/>
              <a:t>Elinkaarikustannukset</a:t>
            </a:r>
          </a:p>
        </c:rich>
      </c:tx>
      <c:overlay val="0"/>
      <c:spPr>
        <a:noFill/>
        <a:ln>
          <a:noFill/>
        </a:ln>
        <a:effectLst/>
      </c:spPr>
    </c:title>
    <c:autoTitleDeleted val="0"/>
    <c:plotArea>
      <c:layout/>
      <c:scatterChart>
        <c:scatterStyle val="lineMarker"/>
        <c:varyColors val="0"/>
        <c:ser>
          <c:idx val="0"/>
          <c:order val="0"/>
          <c:tx>
            <c:strRef>
              <c:f>Laskenta!$B$125</c:f>
              <c:strCache>
                <c:ptCount val="1"/>
                <c:pt idx="0">
                  <c:v>DED-Arc</c:v>
                </c:pt>
              </c:strCache>
            </c:strRef>
          </c:tx>
          <c:xVal>
            <c:numRef>
              <c:f>Laskenta!$A$126:$A$127</c:f>
              <c:numCache>
                <c:formatCode>General</c:formatCode>
                <c:ptCount val="2"/>
                <c:pt idx="0">
                  <c:v>2</c:v>
                </c:pt>
                <c:pt idx="1">
                  <c:v>10</c:v>
                </c:pt>
              </c:numCache>
            </c:numRef>
          </c:xVal>
          <c:yVal>
            <c:numRef>
              <c:f>Laskenta!$B$126:$B$127</c:f>
              <c:numCache>
                <c:formatCode>_("€"* #,##0.00_);_("€"* \(#,##0.00\);_("€"* "-"??_);_(@_)</c:formatCode>
                <c:ptCount val="2"/>
                <c:pt idx="0" formatCode="_-* #,##0.00\ [$€-40B]_-;\-* #,##0.00\ [$€-40B]_-;_-* &quot;-&quot;??\ [$€-40B]_-;_-@_-">
                  <c:v>1121.5858494949882</c:v>
                </c:pt>
                <c:pt idx="1">
                  <c:v>2803.9646237374704</c:v>
                </c:pt>
              </c:numCache>
            </c:numRef>
          </c:yVal>
          <c:smooth val="0"/>
          <c:extLst>
            <c:ext xmlns:c16="http://schemas.microsoft.com/office/drawing/2014/chart" uri="{C3380CC4-5D6E-409C-BE32-E72D297353CC}">
              <c16:uniqueId val="{00000000-0ED6-4978-800D-E88BCFCC7333}"/>
            </c:ext>
          </c:extLst>
        </c:ser>
        <c:ser>
          <c:idx val="4"/>
          <c:order val="1"/>
          <c:tx>
            <c:strRef>
              <c:f>Laskenta!$C$125</c:f>
              <c:strCache>
                <c:ptCount val="1"/>
                <c:pt idx="0">
                  <c:v>DED-LB/powder</c:v>
                </c:pt>
              </c:strCache>
            </c:strRef>
          </c:tx>
          <c:spPr>
            <a:ln w="19050" cap="rnd">
              <a:solidFill>
                <a:schemeClr val="accent1"/>
              </a:solidFill>
              <a:round/>
            </a:ln>
            <a:effectLst/>
          </c:spPr>
          <c:xVal>
            <c:numRef>
              <c:f>Laskenta!$A$126:$A$127</c:f>
              <c:numCache>
                <c:formatCode>General</c:formatCode>
                <c:ptCount val="2"/>
                <c:pt idx="0">
                  <c:v>2</c:v>
                </c:pt>
                <c:pt idx="1">
                  <c:v>10</c:v>
                </c:pt>
              </c:numCache>
            </c:numRef>
          </c:xVal>
          <c:yVal>
            <c:numRef>
              <c:f>Laskenta!$C$126:$C$127</c:f>
              <c:numCache>
                <c:formatCode>_("€"* #,##0.00_);_("€"* \(#,##0.00\);_("€"* "-"??_);_(@_)</c:formatCode>
                <c:ptCount val="2"/>
                <c:pt idx="0" formatCode="_-* #,##0.00\ [$€-40B]_-;\-* #,##0.00\ [$€-40B]_-;_-* &quot;-&quot;??\ [$€-40B]_-;_-@_-">
                  <c:v>2863.9996749163588</c:v>
                </c:pt>
                <c:pt idx="1">
                  <c:v>7159.9991872908968</c:v>
                </c:pt>
              </c:numCache>
            </c:numRef>
          </c:yVal>
          <c:smooth val="0"/>
          <c:extLst>
            <c:ext xmlns:c16="http://schemas.microsoft.com/office/drawing/2014/chart" uri="{C3380CC4-5D6E-409C-BE32-E72D297353CC}">
              <c16:uniqueId val="{00000001-0ED6-4978-800D-E88BCFCC7333}"/>
            </c:ext>
          </c:extLst>
        </c:ser>
        <c:ser>
          <c:idx val="5"/>
          <c:order val="2"/>
          <c:tx>
            <c:strRef>
              <c:f>Laskenta!$D$125</c:f>
              <c:strCache>
                <c:ptCount val="1"/>
                <c:pt idx="0">
                  <c:v>DED-LB/wire</c:v>
                </c:pt>
              </c:strCache>
            </c:strRef>
          </c:tx>
          <c:xVal>
            <c:numRef>
              <c:f>Laskenta!$A$126:$A$127</c:f>
              <c:numCache>
                <c:formatCode>General</c:formatCode>
                <c:ptCount val="2"/>
                <c:pt idx="0">
                  <c:v>2</c:v>
                </c:pt>
                <c:pt idx="1">
                  <c:v>10</c:v>
                </c:pt>
              </c:numCache>
            </c:numRef>
          </c:xVal>
          <c:yVal>
            <c:numRef>
              <c:f>Laskenta!$D$126:$D$127</c:f>
              <c:numCache>
                <c:formatCode>_("€"* #,##0.00_);_("€"* \(#,##0.00\);_("€"* "-"??_);_(@_)</c:formatCode>
                <c:ptCount val="2"/>
                <c:pt idx="0" formatCode="_-* #,##0.00\ [$€-40B]_-;\-* #,##0.00\ [$€-40B]_-;_-* &quot;-&quot;??\ [$€-40B]_-;_-@_-">
                  <c:v>1546.0882950356649</c:v>
                </c:pt>
                <c:pt idx="1">
                  <c:v>3865.2207375891621</c:v>
                </c:pt>
              </c:numCache>
            </c:numRef>
          </c:yVal>
          <c:smooth val="0"/>
          <c:extLst>
            <c:ext xmlns:c16="http://schemas.microsoft.com/office/drawing/2014/chart" uri="{C3380CC4-5D6E-409C-BE32-E72D297353CC}">
              <c16:uniqueId val="{00000002-0ED6-4978-800D-E88BCFCC7333}"/>
            </c:ext>
          </c:extLst>
        </c:ser>
        <c:ser>
          <c:idx val="2"/>
          <c:order val="3"/>
          <c:tx>
            <c:strRef>
              <c:f>Laskenta!$F$125</c:f>
              <c:strCache>
                <c:ptCount val="1"/>
                <c:pt idx="0">
                  <c:v>DED-Arc alkup.</c:v>
                </c:pt>
              </c:strCache>
            </c:strRef>
          </c:tx>
          <c:xVal>
            <c:numRef>
              <c:f>Laskenta!$A$126:$A$127</c:f>
              <c:numCache>
                <c:formatCode>General</c:formatCode>
                <c:ptCount val="2"/>
                <c:pt idx="0">
                  <c:v>2</c:v>
                </c:pt>
                <c:pt idx="1">
                  <c:v>10</c:v>
                </c:pt>
              </c:numCache>
            </c:numRef>
          </c:xVal>
          <c:yVal>
            <c:numRef>
              <c:f>Laskenta!$F$126:$F$127</c:f>
              <c:numCache>
                <c:formatCode>General</c:formatCode>
                <c:ptCount val="2"/>
              </c:numCache>
            </c:numRef>
          </c:yVal>
          <c:smooth val="0"/>
          <c:extLst>
            <c:ext xmlns:c16="http://schemas.microsoft.com/office/drawing/2014/chart" uri="{C3380CC4-5D6E-409C-BE32-E72D297353CC}">
              <c16:uniqueId val="{00000003-0ED6-4978-800D-E88BCFCC7333}"/>
            </c:ext>
          </c:extLst>
        </c:ser>
        <c:ser>
          <c:idx val="3"/>
          <c:order val="4"/>
          <c:tx>
            <c:strRef>
              <c:f>Laskenta!$G$125</c:f>
              <c:strCache>
                <c:ptCount val="1"/>
                <c:pt idx="0">
                  <c:v>DED-LB/powder alkup.</c:v>
                </c:pt>
              </c:strCache>
            </c:strRef>
          </c:tx>
          <c:spPr>
            <a:ln w="19050" cap="rnd">
              <a:solidFill>
                <a:schemeClr val="accent1"/>
              </a:solidFill>
              <a:round/>
            </a:ln>
            <a:effectLst/>
          </c:spPr>
          <c:xVal>
            <c:numRef>
              <c:f>Laskenta!$A$126:$A$127</c:f>
              <c:numCache>
                <c:formatCode>General</c:formatCode>
                <c:ptCount val="2"/>
                <c:pt idx="0">
                  <c:v>2</c:v>
                </c:pt>
                <c:pt idx="1">
                  <c:v>10</c:v>
                </c:pt>
              </c:numCache>
            </c:numRef>
          </c:xVal>
          <c:yVal>
            <c:numRef>
              <c:f>Laskenta!$G$126:$G$127</c:f>
              <c:numCache>
                <c:formatCode>General</c:formatCode>
                <c:ptCount val="2"/>
              </c:numCache>
            </c:numRef>
          </c:yVal>
          <c:smooth val="0"/>
          <c:extLst>
            <c:ext xmlns:c16="http://schemas.microsoft.com/office/drawing/2014/chart" uri="{C3380CC4-5D6E-409C-BE32-E72D297353CC}">
              <c16:uniqueId val="{00000004-0ED6-4978-800D-E88BCFCC7333}"/>
            </c:ext>
          </c:extLst>
        </c:ser>
        <c:ser>
          <c:idx val="1"/>
          <c:order val="5"/>
          <c:tx>
            <c:strRef>
              <c:f>Laskenta!$H$125</c:f>
              <c:strCache>
                <c:ptCount val="1"/>
                <c:pt idx="0">
                  <c:v>DED-LB/wire alkup.</c:v>
                </c:pt>
              </c:strCache>
            </c:strRef>
          </c:tx>
          <c:xVal>
            <c:numRef>
              <c:f>Laskenta!$A$126:$A$127</c:f>
              <c:numCache>
                <c:formatCode>General</c:formatCode>
                <c:ptCount val="2"/>
                <c:pt idx="0">
                  <c:v>2</c:v>
                </c:pt>
                <c:pt idx="1">
                  <c:v>10</c:v>
                </c:pt>
              </c:numCache>
            </c:numRef>
          </c:xVal>
          <c:yVal>
            <c:numRef>
              <c:f>Laskenta!$H$126:$H$127</c:f>
              <c:numCache>
                <c:formatCode>General</c:formatCode>
                <c:ptCount val="2"/>
              </c:numCache>
            </c:numRef>
          </c:yVal>
          <c:smooth val="0"/>
          <c:extLst>
            <c:ext xmlns:c16="http://schemas.microsoft.com/office/drawing/2014/chart" uri="{C3380CC4-5D6E-409C-BE32-E72D297353CC}">
              <c16:uniqueId val="{00000005-0ED6-4978-800D-E88BCFCC7333}"/>
            </c:ext>
          </c:extLst>
        </c:ser>
        <c:ser>
          <c:idx val="6"/>
          <c:order val="6"/>
          <c:tx>
            <c:strRef>
              <c:f>Laskenta!$E$125</c:f>
              <c:strCache>
                <c:ptCount val="1"/>
                <c:pt idx="0">
                  <c:v>Uusi osa</c:v>
                </c:pt>
              </c:strCache>
            </c:strRef>
          </c:tx>
          <c:xVal>
            <c:numRef>
              <c:f>Laskenta!$A$126:$A$127</c:f>
              <c:numCache>
                <c:formatCode>General</c:formatCode>
                <c:ptCount val="2"/>
                <c:pt idx="0">
                  <c:v>2</c:v>
                </c:pt>
                <c:pt idx="1">
                  <c:v>10</c:v>
                </c:pt>
              </c:numCache>
            </c:numRef>
          </c:xVal>
          <c:yVal>
            <c:numRef>
              <c:f>Laskenta!$E$126:$E$127</c:f>
              <c:numCache>
                <c:formatCode>_("€"* #,##0.00_);_("€"* \(#,##0.00\);_("€"* "-"??_);_(@_)</c:formatCode>
                <c:ptCount val="2"/>
                <c:pt idx="0">
                  <c:v>0</c:v>
                </c:pt>
                <c:pt idx="1">
                  <c:v>0</c:v>
                </c:pt>
              </c:numCache>
            </c:numRef>
          </c:yVal>
          <c:smooth val="0"/>
          <c:extLst>
            <c:ext xmlns:c16="http://schemas.microsoft.com/office/drawing/2014/chart" uri="{C3380CC4-5D6E-409C-BE32-E72D297353CC}">
              <c16:uniqueId val="{00000006-0ED6-4978-800D-E88BCFCC7333}"/>
            </c:ext>
          </c:extLst>
        </c:ser>
        <c:dLbls>
          <c:showLegendKey val="0"/>
          <c:showVal val="0"/>
          <c:showCatName val="0"/>
          <c:showSerName val="0"/>
          <c:showPercent val="0"/>
          <c:showBubbleSize val="0"/>
        </c:dLbls>
        <c:axId val="525609400"/>
        <c:axId val="525610056"/>
      </c:scatterChart>
      <c:valAx>
        <c:axId val="525609400"/>
        <c:scaling>
          <c:orientation val="minMax"/>
        </c:scaling>
        <c:delete val="0"/>
        <c:axPos val="b"/>
        <c:title>
          <c:tx>
            <c:rich>
              <a:bodyPr/>
              <a:lstStyle/>
              <a:p>
                <a:pPr>
                  <a:defRPr/>
                </a:pPr>
                <a:r>
                  <a:rPr lang="fi-FI"/>
                  <a:t>Vuotta</a:t>
                </a:r>
              </a:p>
            </c:rich>
          </c:tx>
          <c:overlay val="0"/>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fi-FI"/>
          </a:p>
        </c:txPr>
        <c:crossAx val="525610056"/>
        <c:crosses val="autoZero"/>
        <c:crossBetween val="midCat"/>
      </c:valAx>
      <c:valAx>
        <c:axId val="525610056"/>
        <c:scaling>
          <c:orientation val="minMax"/>
        </c:scaling>
        <c:delete val="0"/>
        <c:axPos val="l"/>
        <c:majorGridlines>
          <c:spPr>
            <a:ln w="9525" cap="flat" cmpd="sng" algn="ctr">
              <a:solidFill>
                <a:schemeClr val="tx1">
                  <a:lumMod val="15000"/>
                  <a:lumOff val="85000"/>
                </a:schemeClr>
              </a:solidFill>
              <a:round/>
            </a:ln>
            <a:effectLst/>
          </c:spPr>
        </c:majorGridlines>
        <c:numFmt formatCode="_-* #,##0\ [$€-40B]_-;\-* #,##0\ [$€-40B]_-;_-* &quot;-&quot;\ [$€-40B]_-;_-@_-" sourceLinked="0"/>
        <c:majorTickMark val="none"/>
        <c:minorTickMark val="none"/>
        <c:tickLblPos val="nextTo"/>
        <c:spPr>
          <a:noFill/>
          <a:ln w="9525" cap="flat" cmpd="sng" algn="ctr">
            <a:solidFill>
              <a:schemeClr val="tx1">
                <a:lumMod val="25000"/>
                <a:lumOff val="75000"/>
              </a:schemeClr>
            </a:solidFill>
            <a:round/>
          </a:ln>
          <a:effectLst/>
        </c:spPr>
        <c:txPr>
          <a:bodyPr rot="-60000000" vert="horz"/>
          <a:lstStyle/>
          <a:p>
            <a:pPr>
              <a:defRPr/>
            </a:pPr>
            <a:endParaRPr lang="fi-FI"/>
          </a:p>
        </c:txPr>
        <c:crossAx val="525609400"/>
        <c:crosses val="autoZero"/>
        <c:crossBetween val="midCat"/>
      </c:valAx>
    </c:plotArea>
    <c:legend>
      <c:legendPos val="b"/>
      <c:overlay val="0"/>
      <c:spPr>
        <a:noFill/>
        <a:ln>
          <a:noFill/>
        </a:ln>
        <a:effectLst/>
      </c:spPr>
      <c:txPr>
        <a:bodyPr rot="0" vert="horz"/>
        <a:lstStyle/>
        <a:p>
          <a:pPr>
            <a:defRPr/>
          </a:pPr>
          <a:endParaRPr lang="fi-FI"/>
        </a:p>
      </c:txPr>
    </c:legend>
    <c:plotVisOnly val="1"/>
    <c:dispBlanksAs val="gap"/>
    <c:showDLblsOverMax val="0"/>
    <c:extLst/>
  </c:chart>
  <c:txPr>
    <a:bodyPr/>
    <a:lstStyle/>
    <a:p>
      <a:pPr>
        <a:defRPr b="1">
          <a:latin typeface="Arial" panose="020B0604020202020204" pitchFamily="34" charset="0"/>
          <a:cs typeface="Arial" panose="020B0604020202020204" pitchFamily="34" charset="0"/>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0</xdr:col>
      <xdr:colOff>575652</xdr:colOff>
      <xdr:row>3</xdr:row>
      <xdr:rowOff>124558</xdr:rowOff>
    </xdr:from>
    <xdr:to>
      <xdr:col>6</xdr:col>
      <xdr:colOff>48356</xdr:colOff>
      <xdr:row>3</xdr:row>
      <xdr:rowOff>945711</xdr:rowOff>
    </xdr:to>
    <xdr:pic>
      <xdr:nvPicPr>
        <xdr:cNvPr id="3" name="Picture 2" descr="Blue text on a black background&#10;&#10;Description automatically generated">
          <a:extLst>
            <a:ext uri="{FF2B5EF4-FFF2-40B4-BE49-F238E27FC236}">
              <a16:creationId xmlns:a16="http://schemas.microsoft.com/office/drawing/2014/main" id="{79AD8C55-5442-4F1F-A2C6-AE0514253F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5652" y="1839058"/>
          <a:ext cx="3115162" cy="821153"/>
        </a:xfrm>
        <a:prstGeom prst="rect">
          <a:avLst/>
        </a:prstGeom>
        <a:noFill/>
        <a:ln>
          <a:noFill/>
        </a:ln>
      </xdr:spPr>
    </xdr:pic>
    <xdr:clientData/>
  </xdr:twoCellAnchor>
  <xdr:twoCellAnchor editAs="oneCell">
    <xdr:from>
      <xdr:col>0</xdr:col>
      <xdr:colOff>598609</xdr:colOff>
      <xdr:row>9</xdr:row>
      <xdr:rowOff>408110</xdr:rowOff>
    </xdr:from>
    <xdr:to>
      <xdr:col>4</xdr:col>
      <xdr:colOff>338687</xdr:colOff>
      <xdr:row>14</xdr:row>
      <xdr:rowOff>36634</xdr:rowOff>
    </xdr:to>
    <xdr:pic>
      <xdr:nvPicPr>
        <xdr:cNvPr id="4" name="Picture 3">
          <a:extLst>
            <a:ext uri="{FF2B5EF4-FFF2-40B4-BE49-F238E27FC236}">
              <a16:creationId xmlns:a16="http://schemas.microsoft.com/office/drawing/2014/main" id="{FCCCA0EB-CD5B-4923-9BE1-61DFE42C5D9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8609" y="6760552"/>
          <a:ext cx="2172616" cy="815486"/>
        </a:xfrm>
        <a:prstGeom prst="rect">
          <a:avLst/>
        </a:prstGeom>
        <a:noFill/>
        <a:ln>
          <a:noFill/>
        </a:ln>
      </xdr:spPr>
    </xdr:pic>
    <xdr:clientData/>
  </xdr:twoCellAnchor>
  <xdr:twoCellAnchor editAs="oneCell">
    <xdr:from>
      <xdr:col>4</xdr:col>
      <xdr:colOff>253267</xdr:colOff>
      <xdr:row>9</xdr:row>
      <xdr:rowOff>311883</xdr:rowOff>
    </xdr:from>
    <xdr:to>
      <xdr:col>7</xdr:col>
      <xdr:colOff>253887</xdr:colOff>
      <xdr:row>14</xdr:row>
      <xdr:rowOff>61790</xdr:rowOff>
    </xdr:to>
    <xdr:pic>
      <xdr:nvPicPr>
        <xdr:cNvPr id="5" name="Picture 4">
          <a:extLst>
            <a:ext uri="{FF2B5EF4-FFF2-40B4-BE49-F238E27FC236}">
              <a16:creationId xmlns:a16="http://schemas.microsoft.com/office/drawing/2014/main" id="{6E90F34E-3973-481F-9EB1-A653FF300A85}"/>
            </a:ext>
          </a:extLst>
        </xdr:cNvPr>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t="7958"/>
        <a:stretch/>
      </xdr:blipFill>
      <xdr:spPr bwMode="auto">
        <a:xfrm>
          <a:off x="2685805" y="6664325"/>
          <a:ext cx="1825024" cy="93686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29308</xdr:colOff>
      <xdr:row>3</xdr:row>
      <xdr:rowOff>63500</xdr:rowOff>
    </xdr:from>
    <xdr:to>
      <xdr:col>10</xdr:col>
      <xdr:colOff>554991</xdr:colOff>
      <xdr:row>3</xdr:row>
      <xdr:rowOff>875030</xdr:rowOff>
    </xdr:to>
    <xdr:pic>
      <xdr:nvPicPr>
        <xdr:cNvPr id="6" name="Picture 5">
          <a:extLst>
            <a:ext uri="{FF2B5EF4-FFF2-40B4-BE49-F238E27FC236}">
              <a16:creationId xmlns:a16="http://schemas.microsoft.com/office/drawing/2014/main" id="{7F756768-92FF-069E-76AD-86CD6A09D2E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692770" y="2154115"/>
          <a:ext cx="2967990" cy="8115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60324</xdr:colOff>
      <xdr:row>1</xdr:row>
      <xdr:rowOff>57150</xdr:rowOff>
    </xdr:from>
    <xdr:to>
      <xdr:col>1</xdr:col>
      <xdr:colOff>1673225</xdr:colOff>
      <xdr:row>1</xdr:row>
      <xdr:rowOff>408054</xdr:rowOff>
    </xdr:to>
    <xdr:pic>
      <xdr:nvPicPr>
        <xdr:cNvPr id="2" name="Picture 1">
          <a:extLst>
            <a:ext uri="{FF2B5EF4-FFF2-40B4-BE49-F238E27FC236}">
              <a16:creationId xmlns:a16="http://schemas.microsoft.com/office/drawing/2014/main" id="{C5DE5680-C585-40BC-89C3-9344BCA645BF}"/>
            </a:ext>
          </a:extLst>
        </xdr:cNvPr>
        <xdr:cNvPicPr>
          <a:picLocks noChangeAspect="1"/>
        </xdr:cNvPicPr>
      </xdr:nvPicPr>
      <xdr:blipFill>
        <a:blip xmlns:r="http://schemas.openxmlformats.org/officeDocument/2006/relationships" r:embed="rId1"/>
        <a:stretch>
          <a:fillRect/>
        </a:stretch>
      </xdr:blipFill>
      <xdr:spPr>
        <a:xfrm>
          <a:off x="317499" y="371475"/>
          <a:ext cx="1612901" cy="3540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63500</xdr:colOff>
      <xdr:row>15</xdr:row>
      <xdr:rowOff>9525</xdr:rowOff>
    </xdr:to>
    <xdr:graphicFrame macro="">
      <xdr:nvGraphicFramePr>
        <xdr:cNvPr id="3" name="Chart 2">
          <a:extLst>
            <a:ext uri="{FF2B5EF4-FFF2-40B4-BE49-F238E27FC236}">
              <a16:creationId xmlns:a16="http://schemas.microsoft.com/office/drawing/2014/main" id="{337511CC-620D-4149-B496-7BD127F8B7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607332</xdr:colOff>
      <xdr:row>15</xdr:row>
      <xdr:rowOff>180521</xdr:rowOff>
    </xdr:from>
    <xdr:to>
      <xdr:col>9</xdr:col>
      <xdr:colOff>6350</xdr:colOff>
      <xdr:row>33</xdr:row>
      <xdr:rowOff>12699</xdr:rowOff>
    </xdr:to>
    <xdr:graphicFrame macro="">
      <xdr:nvGraphicFramePr>
        <xdr:cNvPr id="4" name="Chart 3">
          <a:extLst>
            <a:ext uri="{FF2B5EF4-FFF2-40B4-BE49-F238E27FC236}">
              <a16:creationId xmlns:a16="http://schemas.microsoft.com/office/drawing/2014/main" id="{1984EF58-51DD-4DDB-BACB-DA11C505F3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11794</xdr:colOff>
      <xdr:row>34</xdr:row>
      <xdr:rowOff>0</xdr:rowOff>
    </xdr:from>
    <xdr:to>
      <xdr:col>11</xdr:col>
      <xdr:colOff>68037</xdr:colOff>
      <xdr:row>58</xdr:row>
      <xdr:rowOff>31296</xdr:rowOff>
    </xdr:to>
    <xdr:graphicFrame macro="">
      <xdr:nvGraphicFramePr>
        <xdr:cNvPr id="5" name="Chart 4">
          <a:extLst>
            <a:ext uri="{FF2B5EF4-FFF2-40B4-BE49-F238E27FC236}">
              <a16:creationId xmlns:a16="http://schemas.microsoft.com/office/drawing/2014/main" id="{381A3571-40A3-4A95-9D50-C3F65D4FD5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596899</xdr:colOff>
      <xdr:row>0</xdr:row>
      <xdr:rowOff>0</xdr:rowOff>
    </xdr:from>
    <xdr:to>
      <xdr:col>10</xdr:col>
      <xdr:colOff>9524</xdr:colOff>
      <xdr:row>15</xdr:row>
      <xdr:rowOff>9525</xdr:rowOff>
    </xdr:to>
    <xdr:graphicFrame macro="">
      <xdr:nvGraphicFramePr>
        <xdr:cNvPr id="2" name="Chart 1">
          <a:extLst>
            <a:ext uri="{FF2B5EF4-FFF2-40B4-BE49-F238E27FC236}">
              <a16:creationId xmlns:a16="http://schemas.microsoft.com/office/drawing/2014/main" id="{04CF7322-68F9-4F39-BBD8-E3EC572B1B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8164</xdr:colOff>
      <xdr:row>16</xdr:row>
      <xdr:rowOff>2267</xdr:rowOff>
    </xdr:from>
    <xdr:to>
      <xdr:col>10</xdr:col>
      <xdr:colOff>19050</xdr:colOff>
      <xdr:row>33</xdr:row>
      <xdr:rowOff>19050</xdr:rowOff>
    </xdr:to>
    <xdr:graphicFrame macro="">
      <xdr:nvGraphicFramePr>
        <xdr:cNvPr id="3" name="Chart 2">
          <a:extLst>
            <a:ext uri="{FF2B5EF4-FFF2-40B4-BE49-F238E27FC236}">
              <a16:creationId xmlns:a16="http://schemas.microsoft.com/office/drawing/2014/main" id="{7C819A51-A37D-4CC8-BD7B-6D38FE7940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6809</xdr:colOff>
      <xdr:row>34</xdr:row>
      <xdr:rowOff>1361</xdr:rowOff>
    </xdr:from>
    <xdr:to>
      <xdr:col>10</xdr:col>
      <xdr:colOff>0</xdr:colOff>
      <xdr:row>51</xdr:row>
      <xdr:rowOff>28576</xdr:rowOff>
    </xdr:to>
    <xdr:graphicFrame macro="">
      <xdr:nvGraphicFramePr>
        <xdr:cNvPr id="4" name="Chart 3">
          <a:extLst>
            <a:ext uri="{FF2B5EF4-FFF2-40B4-BE49-F238E27FC236}">
              <a16:creationId xmlns:a16="http://schemas.microsoft.com/office/drawing/2014/main" id="{69E61937-3C3F-40D9-8AFD-958E11CBC2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67405-B157-4221-98E5-725FE6F387C9}">
  <dimension ref="A1:W15"/>
  <sheetViews>
    <sheetView tabSelected="1" zoomScale="130" zoomScaleNormal="130" workbookViewId="0">
      <selection activeCell="B8" sqref="B8:J8"/>
    </sheetView>
  </sheetViews>
  <sheetFormatPr defaultRowHeight="14.45"/>
  <cols>
    <col min="1" max="23" width="8.7109375" style="15"/>
  </cols>
  <sheetData>
    <row r="1" spans="1:23" s="128" customFormat="1" ht="42.6" customHeight="1">
      <c r="A1" s="127"/>
      <c r="B1" s="134" t="s">
        <v>0</v>
      </c>
      <c r="C1" s="134"/>
      <c r="D1" s="134"/>
      <c r="E1" s="134"/>
      <c r="F1" s="134"/>
      <c r="G1" s="134"/>
      <c r="H1" s="134"/>
      <c r="I1" s="134"/>
      <c r="J1" s="134"/>
      <c r="K1" s="127"/>
      <c r="L1" s="127"/>
      <c r="M1" s="127"/>
      <c r="N1" s="127"/>
      <c r="O1" s="127"/>
      <c r="P1" s="127"/>
      <c r="Q1" s="127"/>
      <c r="R1" s="127"/>
      <c r="S1" s="127"/>
      <c r="T1" s="127"/>
      <c r="U1" s="127"/>
      <c r="V1" s="127"/>
      <c r="W1" s="127"/>
    </row>
    <row r="2" spans="1:23" s="126" customFormat="1" ht="45" customHeight="1">
      <c r="A2" s="125"/>
      <c r="B2" s="138" t="s">
        <v>1</v>
      </c>
      <c r="C2" s="138"/>
      <c r="D2" s="138"/>
      <c r="E2" s="138"/>
      <c r="F2" s="138"/>
      <c r="G2" s="138"/>
      <c r="H2" s="138"/>
      <c r="I2" s="138"/>
      <c r="J2" s="138"/>
      <c r="K2" s="125"/>
      <c r="L2" s="125"/>
      <c r="M2" s="125"/>
      <c r="N2" s="125"/>
      <c r="O2" s="125"/>
      <c r="P2" s="125"/>
      <c r="Q2" s="125"/>
      <c r="R2" s="125"/>
      <c r="S2" s="125"/>
      <c r="T2" s="125"/>
      <c r="U2" s="125"/>
      <c r="V2" s="125"/>
      <c r="W2" s="125"/>
    </row>
    <row r="3" spans="1:23" ht="77.099999999999994" customHeight="1">
      <c r="B3" s="135" t="s">
        <v>2</v>
      </c>
      <c r="C3" s="135"/>
      <c r="D3" s="135"/>
      <c r="E3" s="135"/>
      <c r="F3" s="135"/>
      <c r="G3" s="135"/>
      <c r="H3" s="135"/>
      <c r="I3" s="135"/>
      <c r="J3" s="135"/>
    </row>
    <row r="4" spans="1:23" ht="83.1" customHeight="1" thickBot="1"/>
    <row r="5" spans="1:23" ht="53.45" customHeight="1">
      <c r="B5" s="139" t="s">
        <v>3</v>
      </c>
      <c r="C5" s="140"/>
      <c r="D5" s="140"/>
      <c r="E5" s="140"/>
      <c r="F5" s="140"/>
      <c r="G5" s="140"/>
      <c r="H5" s="140"/>
      <c r="I5" s="140"/>
      <c r="J5" s="141"/>
    </row>
    <row r="6" spans="1:23" ht="50.1" customHeight="1">
      <c r="B6" s="136" t="s">
        <v>4</v>
      </c>
      <c r="C6" s="135"/>
      <c r="D6" s="135"/>
      <c r="E6" s="135"/>
      <c r="F6" s="135"/>
      <c r="G6" s="135"/>
      <c r="H6" s="135"/>
      <c r="I6" s="135"/>
      <c r="J6" s="137"/>
    </row>
    <row r="7" spans="1:23" ht="66" customHeight="1">
      <c r="B7" s="136" t="s">
        <v>5</v>
      </c>
      <c r="C7" s="135"/>
      <c r="D7" s="135"/>
      <c r="E7" s="135"/>
      <c r="F7" s="135"/>
      <c r="G7" s="135"/>
      <c r="H7" s="135"/>
      <c r="I7" s="135"/>
      <c r="J7" s="137"/>
    </row>
    <row r="8" spans="1:23" ht="67.5" customHeight="1">
      <c r="B8" s="136" t="s">
        <v>6</v>
      </c>
      <c r="C8" s="135"/>
      <c r="D8" s="135"/>
      <c r="E8" s="135"/>
      <c r="F8" s="135"/>
      <c r="G8" s="135"/>
      <c r="H8" s="135"/>
      <c r="I8" s="135"/>
      <c r="J8" s="137"/>
    </row>
    <row r="9" spans="1:23" ht="15.95" customHeight="1">
      <c r="B9" s="136" t="s">
        <v>7</v>
      </c>
      <c r="C9" s="135"/>
      <c r="D9" s="135"/>
      <c r="E9" s="135"/>
      <c r="F9" s="135"/>
      <c r="G9" s="135"/>
      <c r="H9" s="135"/>
      <c r="I9" s="135"/>
      <c r="J9" s="137"/>
    </row>
    <row r="10" spans="1:23" ht="36" customHeight="1">
      <c r="B10" s="136" t="s">
        <v>8</v>
      </c>
      <c r="C10" s="135"/>
      <c r="D10" s="135"/>
      <c r="E10" s="135"/>
      <c r="F10" s="135"/>
      <c r="G10" s="135"/>
      <c r="H10" s="135"/>
      <c r="I10" s="135"/>
      <c r="J10" s="137"/>
    </row>
    <row r="11" spans="1:23">
      <c r="B11" s="164"/>
      <c r="C11" s="165"/>
      <c r="D11" s="165"/>
      <c r="E11" s="165"/>
      <c r="F11" s="165"/>
      <c r="G11" s="165"/>
      <c r="H11" s="165"/>
      <c r="I11" s="165"/>
      <c r="J11" s="166"/>
    </row>
    <row r="12" spans="1:23">
      <c r="B12" s="164"/>
      <c r="C12" s="165"/>
      <c r="D12" s="165"/>
      <c r="E12" s="165"/>
      <c r="F12" s="165"/>
      <c r="G12" s="165"/>
      <c r="H12" s="165"/>
      <c r="I12" s="165"/>
      <c r="J12" s="166"/>
    </row>
    <row r="13" spans="1:23">
      <c r="B13" s="164"/>
      <c r="C13" s="165"/>
      <c r="D13" s="165"/>
      <c r="E13" s="165"/>
      <c r="F13" s="165"/>
      <c r="G13" s="165"/>
      <c r="H13" s="165"/>
      <c r="I13" s="165"/>
      <c r="J13" s="166"/>
    </row>
    <row r="14" spans="1:23">
      <c r="B14" s="164"/>
      <c r="C14" s="165"/>
      <c r="D14" s="165"/>
      <c r="E14" s="165"/>
      <c r="F14" s="165"/>
      <c r="G14" s="165"/>
      <c r="H14" s="165"/>
      <c r="I14" s="165"/>
      <c r="J14" s="166"/>
    </row>
    <row r="15" spans="1:23" ht="15" thickBot="1">
      <c r="B15" s="167"/>
      <c r="C15" s="168"/>
      <c r="D15" s="168"/>
      <c r="E15" s="168"/>
      <c r="F15" s="168"/>
      <c r="G15" s="168"/>
      <c r="H15" s="168"/>
      <c r="I15" s="168"/>
      <c r="J15" s="169"/>
    </row>
  </sheetData>
  <mergeCells count="14">
    <mergeCell ref="B12:J12"/>
    <mergeCell ref="B2:J2"/>
    <mergeCell ref="B13:J13"/>
    <mergeCell ref="B14:J14"/>
    <mergeCell ref="B15:J15"/>
    <mergeCell ref="B5:J5"/>
    <mergeCell ref="B6:J6"/>
    <mergeCell ref="B7:J7"/>
    <mergeCell ref="B8:J8"/>
    <mergeCell ref="B1:J1"/>
    <mergeCell ref="B3:J3"/>
    <mergeCell ref="B9:J9"/>
    <mergeCell ref="B10:J10"/>
    <mergeCell ref="B11:J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53C84-131A-47F2-A4DB-FA9D491815AD}">
  <dimension ref="A1:K48"/>
  <sheetViews>
    <sheetView topLeftCell="A26" workbookViewId="0">
      <selection activeCell="D12" sqref="D12"/>
    </sheetView>
  </sheetViews>
  <sheetFormatPr defaultRowHeight="14.45"/>
  <cols>
    <col min="1" max="1" width="3.7109375" customWidth="1"/>
    <col min="2" max="2" width="37.28515625" customWidth="1"/>
    <col min="3" max="5" width="18" customWidth="1"/>
    <col min="6" max="6" width="10" customWidth="1"/>
    <col min="7" max="15" width="9.140625" customWidth="1"/>
  </cols>
  <sheetData>
    <row r="1" spans="1:11" s="133" customFormat="1" ht="24.95" customHeight="1">
      <c r="A1" s="132"/>
      <c r="B1" s="132" t="s">
        <v>9</v>
      </c>
      <c r="C1" s="132"/>
      <c r="D1" s="132"/>
      <c r="E1" s="132"/>
      <c r="F1" s="132"/>
    </row>
    <row r="2" spans="1:11" ht="36.6" customHeight="1">
      <c r="A2" s="15"/>
      <c r="B2" s="131"/>
      <c r="C2" s="15"/>
      <c r="D2" s="15"/>
      <c r="E2" s="15"/>
      <c r="F2" s="15"/>
    </row>
    <row r="3" spans="1:11" ht="50.1" customHeight="1" thickBot="1">
      <c r="A3" s="15"/>
      <c r="B3" s="142" t="s">
        <v>10</v>
      </c>
      <c r="C3" s="142"/>
      <c r="D3" s="142"/>
      <c r="E3" s="142"/>
      <c r="F3" s="15"/>
    </row>
    <row r="4" spans="1:11">
      <c r="A4" s="15"/>
      <c r="B4" s="143" t="s">
        <v>11</v>
      </c>
      <c r="C4" s="144"/>
      <c r="D4" s="144"/>
      <c r="E4" s="145"/>
      <c r="F4" s="15"/>
    </row>
    <row r="5" spans="1:11">
      <c r="A5" s="15"/>
      <c r="B5" s="33"/>
      <c r="C5" s="32"/>
      <c r="D5" s="31"/>
      <c r="E5" s="18"/>
      <c r="F5" s="15"/>
    </row>
    <row r="6" spans="1:11" ht="15" thickBot="1">
      <c r="A6" s="15"/>
      <c r="B6" s="28" t="s">
        <v>12</v>
      </c>
      <c r="C6" s="150" t="s">
        <v>13</v>
      </c>
      <c r="D6" s="129" t="s">
        <v>14</v>
      </c>
      <c r="E6" s="18"/>
      <c r="F6" s="15"/>
      <c r="G6" t="s">
        <v>15</v>
      </c>
    </row>
    <row r="7" spans="1:11" ht="15" thickBot="1">
      <c r="A7" s="15"/>
      <c r="B7" s="154" t="s">
        <v>16</v>
      </c>
      <c r="C7" s="150"/>
      <c r="D7" s="129"/>
      <c r="E7" s="18"/>
      <c r="F7" s="15"/>
      <c r="G7" s="100" t="s">
        <v>13</v>
      </c>
      <c r="H7" s="101" t="s">
        <v>17</v>
      </c>
      <c r="I7" s="101" t="s">
        <v>18</v>
      </c>
      <c r="J7" s="101"/>
      <c r="K7" s="102"/>
    </row>
    <row r="8" spans="1:11" ht="15" customHeight="1">
      <c r="A8" s="15"/>
      <c r="B8" s="155"/>
      <c r="C8" s="151"/>
      <c r="D8" s="129"/>
      <c r="E8" s="18"/>
      <c r="F8" s="15"/>
    </row>
    <row r="9" spans="1:11">
      <c r="A9" s="15"/>
      <c r="B9" s="1" t="s">
        <v>19</v>
      </c>
      <c r="C9" s="148" t="s">
        <v>17</v>
      </c>
      <c r="D9" s="130" t="s">
        <v>20</v>
      </c>
      <c r="E9" s="18"/>
      <c r="F9" s="15"/>
    </row>
    <row r="10" spans="1:11" ht="13.5" customHeight="1">
      <c r="A10" s="15"/>
      <c r="B10" s="156" t="s">
        <v>21</v>
      </c>
      <c r="C10" s="153"/>
      <c r="D10" s="15"/>
      <c r="E10" s="18"/>
      <c r="F10" s="15"/>
    </row>
    <row r="11" spans="1:11">
      <c r="A11" s="15"/>
      <c r="B11" s="157"/>
      <c r="C11" s="149"/>
      <c r="D11" s="15"/>
      <c r="E11" s="18"/>
      <c r="F11" s="15"/>
    </row>
    <row r="12" spans="1:11">
      <c r="A12" s="15"/>
      <c r="B12" s="36"/>
      <c r="C12" s="15"/>
      <c r="D12" s="15"/>
      <c r="E12" s="18"/>
      <c r="F12" s="15"/>
    </row>
    <row r="13" spans="1:11">
      <c r="A13" s="15"/>
      <c r="B13" s="17" t="s">
        <v>22</v>
      </c>
      <c r="C13" s="35"/>
      <c r="D13" s="15"/>
      <c r="E13" s="18"/>
      <c r="F13" s="15"/>
    </row>
    <row r="14" spans="1:11">
      <c r="A14" s="15"/>
      <c r="B14" s="25" t="s">
        <v>23</v>
      </c>
      <c r="C14" s="34">
        <v>1</v>
      </c>
      <c r="D14" s="152" t="str">
        <f>IF(C14+C15&gt;1,"Yli 100%!"," ")</f>
        <v xml:space="preserve"> </v>
      </c>
      <c r="E14" s="18"/>
      <c r="F14" s="15"/>
    </row>
    <row r="15" spans="1:11">
      <c r="A15" s="15"/>
      <c r="B15" s="25" t="s">
        <v>24</v>
      </c>
      <c r="C15" s="38">
        <f>1-C14</f>
        <v>0</v>
      </c>
      <c r="D15" s="152"/>
      <c r="E15" s="18"/>
      <c r="F15" s="15"/>
    </row>
    <row r="16" spans="1:11" ht="15" thickBot="1">
      <c r="A16" s="15"/>
      <c r="B16" s="20"/>
      <c r="C16" s="21"/>
      <c r="D16" s="48"/>
      <c r="E16" s="30"/>
      <c r="F16" s="15"/>
    </row>
    <row r="17" spans="1:6" ht="15" thickBot="1">
      <c r="A17" s="15"/>
      <c r="B17" s="15"/>
      <c r="C17" s="16"/>
      <c r="D17" s="37"/>
      <c r="E17" s="15"/>
      <c r="F17" s="15"/>
    </row>
    <row r="18" spans="1:6">
      <c r="A18" s="15"/>
      <c r="B18" s="143" t="s">
        <v>25</v>
      </c>
      <c r="C18" s="144"/>
      <c r="D18" s="144"/>
      <c r="E18" s="145"/>
      <c r="F18" s="15"/>
    </row>
    <row r="19" spans="1:6">
      <c r="A19" s="15"/>
      <c r="B19" s="24"/>
      <c r="C19" s="35"/>
      <c r="D19" s="35"/>
      <c r="E19" s="43"/>
      <c r="F19" s="15"/>
    </row>
    <row r="20" spans="1:6">
      <c r="A20" s="15"/>
      <c r="B20" s="158" t="s">
        <v>26</v>
      </c>
      <c r="C20" s="41" t="s">
        <v>27</v>
      </c>
      <c r="D20" s="41" t="s">
        <v>28</v>
      </c>
      <c r="E20" s="18" t="s">
        <v>29</v>
      </c>
      <c r="F20" s="15"/>
    </row>
    <row r="21" spans="1:6">
      <c r="A21" s="15"/>
      <c r="B21" s="159"/>
      <c r="C21" s="39" t="s">
        <v>30</v>
      </c>
      <c r="D21" s="39" t="s">
        <v>31</v>
      </c>
      <c r="E21" s="40" t="s">
        <v>32</v>
      </c>
      <c r="F21" s="15"/>
    </row>
    <row r="22" spans="1:6">
      <c r="A22" s="15"/>
      <c r="B22" s="160"/>
      <c r="C22" s="44">
        <f>0.5*C26</f>
        <v>1.5</v>
      </c>
      <c r="D22" s="44">
        <f>0.5*D26</f>
        <v>0.5</v>
      </c>
      <c r="E22" s="44">
        <f>0.5*E26</f>
        <v>0.5</v>
      </c>
      <c r="F22" s="15"/>
    </row>
    <row r="23" spans="1:6">
      <c r="A23" s="15"/>
      <c r="B23" s="51"/>
      <c r="C23" s="35"/>
      <c r="D23" s="35"/>
      <c r="E23" s="18"/>
      <c r="F23" s="15"/>
    </row>
    <row r="24" spans="1:6">
      <c r="A24" s="15"/>
      <c r="B24" s="158" t="s">
        <v>33</v>
      </c>
      <c r="C24" s="15" t="s">
        <v>27</v>
      </c>
      <c r="D24" s="41" t="s">
        <v>28</v>
      </c>
      <c r="E24" s="27" t="s">
        <v>29</v>
      </c>
      <c r="F24" s="15"/>
    </row>
    <row r="25" spans="1:6">
      <c r="A25" s="15"/>
      <c r="B25" s="159"/>
      <c r="C25" s="42" t="s">
        <v>34</v>
      </c>
      <c r="D25" s="42" t="s">
        <v>35</v>
      </c>
      <c r="E25" s="43" t="s">
        <v>32</v>
      </c>
      <c r="F25" s="15"/>
    </row>
    <row r="26" spans="1:6">
      <c r="A26" s="15"/>
      <c r="B26" s="160"/>
      <c r="C26" s="44">
        <v>3</v>
      </c>
      <c r="D26" s="44">
        <v>1</v>
      </c>
      <c r="E26" s="26">
        <v>1</v>
      </c>
      <c r="F26" s="15"/>
    </row>
    <row r="27" spans="1:6" ht="15" thickBot="1">
      <c r="A27" s="15"/>
      <c r="B27" s="20"/>
      <c r="C27" s="29"/>
      <c r="D27" s="29"/>
      <c r="E27" s="30"/>
      <c r="F27" s="15"/>
    </row>
    <row r="28" spans="1:6" ht="15" thickBot="1">
      <c r="A28" s="15"/>
      <c r="B28" s="15"/>
      <c r="C28" s="15"/>
      <c r="D28" s="15"/>
      <c r="E28" s="15"/>
      <c r="F28" s="15"/>
    </row>
    <row r="29" spans="1:6">
      <c r="A29" s="15"/>
      <c r="B29" s="143" t="s">
        <v>36</v>
      </c>
      <c r="C29" s="144"/>
      <c r="D29" s="144"/>
      <c r="E29" s="145"/>
      <c r="F29" s="15"/>
    </row>
    <row r="30" spans="1:6">
      <c r="A30" s="15"/>
      <c r="B30" s="17" t="s">
        <v>37</v>
      </c>
      <c r="C30" s="15"/>
      <c r="D30" s="15"/>
      <c r="E30" s="18"/>
      <c r="F30" s="15"/>
    </row>
    <row r="31" spans="1:6">
      <c r="A31" s="15"/>
      <c r="B31" s="17"/>
      <c r="C31" s="41" t="s">
        <v>27</v>
      </c>
      <c r="D31" s="53" t="str">
        <f t="shared" ref="D31:E36" si="0">C31</f>
        <v>Valokaari/lanka</v>
      </c>
      <c r="E31" s="18"/>
      <c r="F31" s="15"/>
    </row>
    <row r="32" spans="1:6">
      <c r="A32" s="15"/>
      <c r="B32" s="25" t="s">
        <v>38</v>
      </c>
      <c r="C32" s="44">
        <v>400</v>
      </c>
      <c r="D32" s="53">
        <f t="shared" si="0"/>
        <v>400</v>
      </c>
      <c r="E32" s="52">
        <f t="shared" si="0"/>
        <v>400</v>
      </c>
      <c r="F32" s="15"/>
    </row>
    <row r="33" spans="1:6">
      <c r="A33" s="15"/>
      <c r="B33" s="25" t="s">
        <v>39</v>
      </c>
      <c r="C33" s="44">
        <v>300</v>
      </c>
      <c r="D33" s="53">
        <f t="shared" si="0"/>
        <v>300</v>
      </c>
      <c r="E33" s="52">
        <f t="shared" si="0"/>
        <v>300</v>
      </c>
      <c r="F33" s="47" t="s">
        <v>40</v>
      </c>
    </row>
    <row r="34" spans="1:6">
      <c r="A34" s="15"/>
      <c r="B34" s="25" t="s">
        <v>41</v>
      </c>
      <c r="C34" s="44">
        <v>299</v>
      </c>
      <c r="D34" s="53">
        <f t="shared" si="0"/>
        <v>299</v>
      </c>
      <c r="E34" s="52">
        <f t="shared" si="0"/>
        <v>299</v>
      </c>
      <c r="F34" s="47" t="s">
        <v>42</v>
      </c>
    </row>
    <row r="35" spans="1:6" ht="15" thickBot="1">
      <c r="A35" s="15"/>
      <c r="B35" s="45" t="s">
        <v>43</v>
      </c>
      <c r="C35" s="46">
        <f>C34-1</f>
        <v>298</v>
      </c>
      <c r="D35" s="53">
        <f t="shared" si="0"/>
        <v>298</v>
      </c>
      <c r="E35" s="52">
        <f t="shared" si="0"/>
        <v>298</v>
      </c>
      <c r="F35" s="47" t="s">
        <v>44</v>
      </c>
    </row>
    <row r="36" spans="1:6" ht="15" thickBot="1">
      <c r="A36" s="15"/>
      <c r="B36" s="82" t="s">
        <v>45</v>
      </c>
      <c r="C36" s="81">
        <f>C33/2-C35/2</f>
        <v>1</v>
      </c>
      <c r="D36" s="53">
        <f t="shared" si="0"/>
        <v>1</v>
      </c>
      <c r="E36" s="52">
        <f t="shared" si="0"/>
        <v>1</v>
      </c>
      <c r="F36" s="47"/>
    </row>
    <row r="37" spans="1:6">
      <c r="A37" s="15"/>
      <c r="B37" s="49"/>
      <c r="C37" s="22"/>
      <c r="D37" s="53"/>
      <c r="E37" s="52"/>
      <c r="F37" s="15"/>
    </row>
    <row r="38" spans="1:6" ht="15" thickBot="1">
      <c r="A38" s="15"/>
      <c r="B38" s="20"/>
      <c r="C38" s="29"/>
      <c r="D38" s="54"/>
      <c r="E38" s="55"/>
      <c r="F38" s="15"/>
    </row>
    <row r="39" spans="1:6" ht="15" thickBot="1">
      <c r="A39" s="15"/>
      <c r="B39" s="15"/>
      <c r="C39" s="15"/>
      <c r="D39" s="15"/>
      <c r="E39" s="15"/>
      <c r="F39" s="15"/>
    </row>
    <row r="40" spans="1:6">
      <c r="A40" s="15"/>
      <c r="B40" s="70" t="s">
        <v>46</v>
      </c>
      <c r="C40" s="50"/>
      <c r="D40" s="22"/>
      <c r="E40" s="23"/>
      <c r="F40" s="15"/>
    </row>
    <row r="41" spans="1:6">
      <c r="A41" s="15"/>
      <c r="B41" s="17" t="s">
        <v>47</v>
      </c>
      <c r="C41" s="148"/>
      <c r="D41" s="15"/>
      <c r="E41" s="18"/>
      <c r="F41" s="15"/>
    </row>
    <row r="42" spans="1:6">
      <c r="A42" s="15"/>
      <c r="B42" s="19" t="s">
        <v>48</v>
      </c>
      <c r="C42" s="149"/>
      <c r="D42" s="77"/>
      <c r="E42" s="18"/>
      <c r="F42" s="15"/>
    </row>
    <row r="43" spans="1:6">
      <c r="A43" s="15"/>
      <c r="B43" s="28" t="s">
        <v>49</v>
      </c>
      <c r="C43" s="148">
        <v>2</v>
      </c>
      <c r="D43" s="147">
        <v>2</v>
      </c>
      <c r="E43" s="146">
        <v>2</v>
      </c>
      <c r="F43" s="15"/>
    </row>
    <row r="44" spans="1:6">
      <c r="A44" s="15"/>
      <c r="B44" s="58" t="s">
        <v>50</v>
      </c>
      <c r="C44" s="153"/>
      <c r="D44" s="147"/>
      <c r="E44" s="146"/>
      <c r="F44" s="15"/>
    </row>
    <row r="45" spans="1:6">
      <c r="A45" s="15"/>
      <c r="B45" s="36" t="s">
        <v>51</v>
      </c>
      <c r="C45" s="148">
        <v>10</v>
      </c>
      <c r="D45" s="147">
        <v>10</v>
      </c>
      <c r="E45" s="146">
        <v>10</v>
      </c>
      <c r="F45" s="15"/>
    </row>
    <row r="46" spans="1:6">
      <c r="A46" s="15"/>
      <c r="B46" s="59" t="s">
        <v>52</v>
      </c>
      <c r="C46" s="149"/>
      <c r="D46" s="147"/>
      <c r="E46" s="146"/>
      <c r="F46" s="15"/>
    </row>
    <row r="47" spans="1:6" ht="15" thickBot="1">
      <c r="A47" s="15"/>
      <c r="B47" s="20"/>
      <c r="C47" s="29"/>
      <c r="D47" s="29"/>
      <c r="E47" s="30"/>
      <c r="F47" s="15"/>
    </row>
    <row r="48" spans="1:6">
      <c r="A48" s="15"/>
      <c r="B48" s="15"/>
      <c r="C48" s="15"/>
      <c r="D48" s="15"/>
      <c r="E48" s="15"/>
      <c r="F48" s="15"/>
    </row>
  </sheetData>
  <mergeCells count="18">
    <mergeCell ref="B24:B26"/>
    <mergeCell ref="B20:B22"/>
    <mergeCell ref="B3:E3"/>
    <mergeCell ref="B4:E4"/>
    <mergeCell ref="B18:E18"/>
    <mergeCell ref="E43:E44"/>
    <mergeCell ref="D45:D46"/>
    <mergeCell ref="E45:E46"/>
    <mergeCell ref="C41:C42"/>
    <mergeCell ref="C6:C8"/>
    <mergeCell ref="D14:D15"/>
    <mergeCell ref="C9:C11"/>
    <mergeCell ref="B29:E29"/>
    <mergeCell ref="B7:B8"/>
    <mergeCell ref="B10:B11"/>
    <mergeCell ref="C43:C44"/>
    <mergeCell ref="C45:C46"/>
    <mergeCell ref="D43:D44"/>
  </mergeCells>
  <phoneticPr fontId="2" type="noConversion"/>
  <dataValidations count="1">
    <dataValidation type="list" allowBlank="1" showInputMessage="1" showErrorMessage="1" sqref="C6:C8" xr:uid="{DEA16864-87B0-4460-A991-6A397B5E7783}">
      <formula1>$G$7:$K$7</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8BED4-94E5-46D1-BB7F-5DA0F6077670}">
  <dimension ref="A1:L31"/>
  <sheetViews>
    <sheetView workbookViewId="0">
      <pane xSplit="1" ySplit="1" topLeftCell="B2" activePane="bottomRight" state="frozen"/>
      <selection pane="bottomRight" activeCell="N9" sqref="N9"/>
      <selection pane="bottomLeft" activeCell="F35" sqref="F35"/>
      <selection pane="topRight" activeCell="F35" sqref="F35"/>
    </sheetView>
  </sheetViews>
  <sheetFormatPr defaultRowHeight="14.45"/>
  <cols>
    <col min="1" max="1" width="35.7109375" customWidth="1"/>
    <col min="3" max="3" width="12" bestFit="1" customWidth="1"/>
    <col min="5" max="5" width="13.42578125" bestFit="1" customWidth="1"/>
    <col min="6" max="8" width="12" bestFit="1" customWidth="1"/>
    <col min="9" max="9" width="11.5703125" bestFit="1" customWidth="1"/>
    <col min="10" max="10" width="12.140625" bestFit="1" customWidth="1"/>
  </cols>
  <sheetData>
    <row r="1" spans="1:11" ht="58.5" customHeight="1" thickBot="1">
      <c r="A1" s="15"/>
      <c r="B1" s="142" t="s">
        <v>53</v>
      </c>
      <c r="C1" s="142"/>
      <c r="D1" s="142"/>
      <c r="E1" s="142"/>
      <c r="F1" s="142"/>
      <c r="G1" s="142"/>
      <c r="H1" s="142"/>
      <c r="I1" s="142"/>
      <c r="J1" s="142"/>
      <c r="K1" s="15"/>
    </row>
    <row r="2" spans="1:11">
      <c r="B2" s="161" t="s">
        <v>13</v>
      </c>
      <c r="C2" s="162"/>
      <c r="D2" s="162"/>
      <c r="E2" s="161" t="s">
        <v>54</v>
      </c>
      <c r="F2" s="162"/>
      <c r="G2" s="163"/>
      <c r="H2" s="162" t="s">
        <v>55</v>
      </c>
      <c r="I2" s="162"/>
      <c r="J2" s="163"/>
    </row>
    <row r="3" spans="1:11">
      <c r="A3" t="s">
        <v>56</v>
      </c>
      <c r="B3" s="1" t="s">
        <v>57</v>
      </c>
      <c r="C3" t="s">
        <v>58</v>
      </c>
      <c r="D3" t="s">
        <v>59</v>
      </c>
      <c r="E3" s="1" t="s">
        <v>57</v>
      </c>
      <c r="F3" t="s">
        <v>58</v>
      </c>
      <c r="G3" s="2" t="s">
        <v>59</v>
      </c>
      <c r="H3" t="s">
        <v>57</v>
      </c>
      <c r="I3" t="s">
        <v>58</v>
      </c>
      <c r="J3" s="2" t="s">
        <v>59</v>
      </c>
    </row>
    <row r="4" spans="1:11">
      <c r="A4" t="s">
        <v>60</v>
      </c>
      <c r="B4" s="1">
        <v>8900</v>
      </c>
      <c r="C4">
        <v>8900</v>
      </c>
      <c r="D4">
        <v>8900</v>
      </c>
      <c r="E4" s="1">
        <v>7850</v>
      </c>
      <c r="F4">
        <v>7850</v>
      </c>
      <c r="G4" s="2">
        <v>7850</v>
      </c>
      <c r="H4">
        <v>7980</v>
      </c>
      <c r="I4">
        <v>7980</v>
      </c>
      <c r="J4" s="2">
        <v>7980</v>
      </c>
      <c r="K4" t="s">
        <v>61</v>
      </c>
    </row>
    <row r="5" spans="1:11">
      <c r="B5" s="64"/>
      <c r="C5" s="10"/>
      <c r="D5" s="10"/>
      <c r="E5" s="64"/>
      <c r="F5" s="10"/>
      <c r="G5" s="63"/>
      <c r="H5" s="10"/>
      <c r="I5" s="10"/>
      <c r="J5" s="63"/>
    </row>
    <row r="6" spans="1:11">
      <c r="A6" t="s">
        <v>62</v>
      </c>
      <c r="B6" s="1">
        <v>18.2</v>
      </c>
      <c r="C6" s="10"/>
      <c r="D6" s="10"/>
      <c r="E6" s="1">
        <v>18</v>
      </c>
      <c r="F6" s="10"/>
      <c r="G6" s="63"/>
      <c r="H6">
        <v>16.5</v>
      </c>
      <c r="I6" s="10"/>
      <c r="J6" s="63"/>
    </row>
    <row r="7" spans="1:11">
      <c r="A7" t="s">
        <v>63</v>
      </c>
      <c r="B7" s="1">
        <v>180</v>
      </c>
      <c r="C7" s="10"/>
      <c r="D7" s="10"/>
      <c r="E7" s="1">
        <v>175</v>
      </c>
      <c r="F7" s="10"/>
      <c r="G7" s="63"/>
      <c r="H7">
        <v>130</v>
      </c>
      <c r="I7" s="10"/>
      <c r="J7" s="63"/>
    </row>
    <row r="8" spans="1:11">
      <c r="A8" t="s">
        <v>64</v>
      </c>
      <c r="B8" s="67">
        <f>B6*B7</f>
        <v>3276</v>
      </c>
      <c r="C8">
        <v>3000</v>
      </c>
      <c r="D8">
        <f>J8</f>
        <v>1200</v>
      </c>
      <c r="E8" s="67">
        <f>E6*E7</f>
        <v>3150</v>
      </c>
      <c r="F8">
        <f>I8</f>
        <v>3000</v>
      </c>
      <c r="G8" s="2">
        <v>1200</v>
      </c>
      <c r="H8" s="3">
        <f>H6*H7</f>
        <v>2145</v>
      </c>
      <c r="I8">
        <v>3000</v>
      </c>
      <c r="J8" s="2">
        <v>1200</v>
      </c>
      <c r="K8" t="s">
        <v>65</v>
      </c>
    </row>
    <row r="9" spans="1:11">
      <c r="A9" t="s">
        <v>66</v>
      </c>
      <c r="B9" s="60">
        <v>0.8</v>
      </c>
      <c r="C9" s="61">
        <v>0.45</v>
      </c>
      <c r="D9" s="104">
        <v>0.45</v>
      </c>
      <c r="E9" s="60">
        <v>0.8</v>
      </c>
      <c r="F9" s="61">
        <f t="shared" ref="F9:F15" si="0">I9</f>
        <v>0.45</v>
      </c>
      <c r="G9" s="62">
        <v>0.45</v>
      </c>
      <c r="H9" s="61">
        <f>B9</f>
        <v>0.8</v>
      </c>
      <c r="I9" s="61">
        <f>C9</f>
        <v>0.45</v>
      </c>
      <c r="J9" s="62">
        <f>D9</f>
        <v>0.45</v>
      </c>
      <c r="K9" t="s">
        <v>67</v>
      </c>
    </row>
    <row r="10" spans="1:11">
      <c r="A10" t="s">
        <v>68</v>
      </c>
      <c r="B10" s="64"/>
      <c r="C10" s="10"/>
      <c r="D10">
        <f t="shared" ref="D10:D15" si="1">J10</f>
        <v>0</v>
      </c>
      <c r="E10" s="64"/>
      <c r="F10" s="10"/>
      <c r="G10" s="63"/>
      <c r="H10" s="10"/>
      <c r="I10" s="10"/>
      <c r="J10" s="63"/>
      <c r="K10" t="s">
        <v>65</v>
      </c>
    </row>
    <row r="11" spans="1:11">
      <c r="A11" t="s">
        <v>69</v>
      </c>
      <c r="B11" s="1">
        <v>25</v>
      </c>
      <c r="C11">
        <f>800/60</f>
        <v>13.333333333333334</v>
      </c>
      <c r="D11">
        <f t="shared" si="1"/>
        <v>16.666666666666668</v>
      </c>
      <c r="E11" s="65">
        <f>700/60</f>
        <v>11.666666666666666</v>
      </c>
      <c r="F11">
        <f t="shared" si="0"/>
        <v>27</v>
      </c>
      <c r="G11" s="66">
        <f>1000/60</f>
        <v>16.666666666666668</v>
      </c>
      <c r="H11">
        <f>H8/300</f>
        <v>7.15</v>
      </c>
      <c r="I11" s="4">
        <v>27</v>
      </c>
      <c r="J11" s="66">
        <f>1000/60</f>
        <v>16.666666666666668</v>
      </c>
      <c r="K11" t="s">
        <v>70</v>
      </c>
    </row>
    <row r="12" spans="1:11">
      <c r="A12" t="s">
        <v>71</v>
      </c>
      <c r="B12" s="1">
        <v>0.6</v>
      </c>
      <c r="C12" s="10"/>
      <c r="D12">
        <f t="shared" si="1"/>
        <v>0.5</v>
      </c>
      <c r="E12" s="1">
        <v>0.6</v>
      </c>
      <c r="F12" s="10"/>
      <c r="G12" s="2">
        <v>0.5</v>
      </c>
      <c r="H12">
        <v>0.5</v>
      </c>
      <c r="I12" s="10"/>
      <c r="J12" s="2">
        <v>0.5</v>
      </c>
      <c r="K12" t="s">
        <v>72</v>
      </c>
    </row>
    <row r="13" spans="1:11">
      <c r="A13" t="s">
        <v>73</v>
      </c>
      <c r="B13" s="1">
        <v>67</v>
      </c>
      <c r="C13" s="10"/>
      <c r="D13">
        <f t="shared" si="1"/>
        <v>18.333333333333332</v>
      </c>
      <c r="E13" s="1">
        <f>5000/60</f>
        <v>83.333333333333329</v>
      </c>
      <c r="F13" s="10"/>
      <c r="G13" s="2">
        <f>1100/60</f>
        <v>18.333333333333332</v>
      </c>
      <c r="H13">
        <f>(8*1000)/60</f>
        <v>133.33333333333334</v>
      </c>
      <c r="I13" s="10"/>
      <c r="J13" s="2">
        <f>1100/60</f>
        <v>18.333333333333332</v>
      </c>
      <c r="K13" t="s">
        <v>70</v>
      </c>
    </row>
    <row r="14" spans="1:11">
      <c r="A14" t="s">
        <v>74</v>
      </c>
      <c r="B14" s="64"/>
      <c r="C14" s="4">
        <f>25/60</f>
        <v>0.41666666666666669</v>
      </c>
      <c r="D14">
        <f t="shared" si="1"/>
        <v>0</v>
      </c>
      <c r="E14" s="69"/>
      <c r="F14" s="4">
        <f t="shared" si="0"/>
        <v>0.24333333333333332</v>
      </c>
      <c r="G14" s="63"/>
      <c r="H14" s="68"/>
      <c r="I14" s="4">
        <f>14.6/60</f>
        <v>0.24333333333333332</v>
      </c>
      <c r="J14" s="63"/>
      <c r="K14" t="s">
        <v>75</v>
      </c>
    </row>
    <row r="15" spans="1:11">
      <c r="A15" t="s">
        <v>76</v>
      </c>
      <c r="B15" s="1">
        <f>18/60</f>
        <v>0.3</v>
      </c>
      <c r="C15" s="4">
        <f>9.5/60</f>
        <v>0.15833333333333333</v>
      </c>
      <c r="D15">
        <f t="shared" si="1"/>
        <v>0.33333333333333331</v>
      </c>
      <c r="E15" s="65">
        <f>20/60</f>
        <v>0.33333333333333331</v>
      </c>
      <c r="F15" s="4">
        <f t="shared" si="0"/>
        <v>0.45</v>
      </c>
      <c r="G15" s="66">
        <f>20/60</f>
        <v>0.33333333333333331</v>
      </c>
      <c r="H15" s="4">
        <v>0.4</v>
      </c>
      <c r="I15" s="72">
        <f>27/60</f>
        <v>0.45</v>
      </c>
      <c r="J15" s="66">
        <f>20/60</f>
        <v>0.33333333333333331</v>
      </c>
      <c r="K15" t="s">
        <v>77</v>
      </c>
    </row>
    <row r="16" spans="1:11">
      <c r="B16" s="64"/>
      <c r="C16" s="10"/>
      <c r="D16" s="10"/>
      <c r="E16" s="64"/>
      <c r="F16" s="10"/>
      <c r="G16" s="63"/>
      <c r="H16" s="10"/>
      <c r="I16" s="10"/>
      <c r="J16" s="63"/>
    </row>
    <row r="17" spans="1:12">
      <c r="A17" t="s">
        <v>78</v>
      </c>
      <c r="B17" s="73">
        <v>4</v>
      </c>
      <c r="C17" s="6">
        <v>4</v>
      </c>
      <c r="D17" s="6">
        <v>4</v>
      </c>
      <c r="E17" s="73">
        <v>25</v>
      </c>
      <c r="F17" s="6">
        <v>25</v>
      </c>
      <c r="G17" s="74">
        <v>25</v>
      </c>
      <c r="H17" s="6">
        <v>10</v>
      </c>
      <c r="I17" s="6">
        <v>10</v>
      </c>
      <c r="J17" s="74">
        <v>10</v>
      </c>
      <c r="K17" t="s">
        <v>79</v>
      </c>
    </row>
    <row r="18" spans="1:12">
      <c r="A18" s="79" t="s">
        <v>80</v>
      </c>
      <c r="B18" s="73"/>
      <c r="C18" s="6"/>
      <c r="D18" s="6"/>
      <c r="E18" s="73"/>
      <c r="F18" s="6"/>
      <c r="G18" s="74"/>
      <c r="H18" s="6"/>
      <c r="I18" s="6"/>
      <c r="J18" s="74"/>
      <c r="L18" t="s">
        <v>81</v>
      </c>
    </row>
    <row r="19" spans="1:12">
      <c r="B19" s="64"/>
      <c r="C19" s="10"/>
      <c r="D19" s="10"/>
      <c r="E19" s="64"/>
      <c r="F19" s="10"/>
      <c r="G19" s="63"/>
      <c r="H19" s="10"/>
      <c r="I19" s="10"/>
      <c r="J19" s="63"/>
    </row>
    <row r="20" spans="1:12">
      <c r="A20" t="s">
        <v>82</v>
      </c>
      <c r="B20" s="1">
        <v>108</v>
      </c>
      <c r="C20">
        <v>108</v>
      </c>
      <c r="D20">
        <v>108</v>
      </c>
      <c r="E20" s="1">
        <v>25</v>
      </c>
      <c r="F20">
        <v>25</v>
      </c>
      <c r="G20" s="2">
        <v>25</v>
      </c>
      <c r="H20">
        <v>57</v>
      </c>
      <c r="I20">
        <v>57</v>
      </c>
      <c r="J20" s="2">
        <v>57</v>
      </c>
      <c r="K20" t="s">
        <v>83</v>
      </c>
    </row>
    <row r="21" spans="1:12">
      <c r="A21" t="s">
        <v>84</v>
      </c>
      <c r="B21" s="1">
        <v>108</v>
      </c>
      <c r="C21">
        <v>108</v>
      </c>
      <c r="D21">
        <v>108</v>
      </c>
      <c r="E21" s="1">
        <v>25</v>
      </c>
      <c r="F21">
        <v>25</v>
      </c>
      <c r="G21" s="2">
        <v>25</v>
      </c>
      <c r="H21">
        <v>57</v>
      </c>
      <c r="I21">
        <v>57</v>
      </c>
      <c r="J21" s="2">
        <v>57</v>
      </c>
      <c r="K21" t="s">
        <v>83</v>
      </c>
    </row>
    <row r="22" spans="1:12">
      <c r="A22" t="s">
        <v>85</v>
      </c>
      <c r="B22" s="1">
        <v>20</v>
      </c>
      <c r="C22">
        <v>20</v>
      </c>
      <c r="D22">
        <v>20</v>
      </c>
      <c r="E22" s="1">
        <v>20</v>
      </c>
      <c r="F22">
        <v>20</v>
      </c>
      <c r="G22" s="2">
        <v>20</v>
      </c>
      <c r="H22">
        <v>20</v>
      </c>
      <c r="I22">
        <v>20</v>
      </c>
      <c r="J22" s="2">
        <v>20</v>
      </c>
      <c r="K22" t="s">
        <v>83</v>
      </c>
    </row>
    <row r="23" spans="1:12">
      <c r="A23" t="s">
        <v>86</v>
      </c>
      <c r="B23" s="1">
        <v>0.5</v>
      </c>
      <c r="C23">
        <v>50</v>
      </c>
      <c r="D23">
        <v>0.5</v>
      </c>
      <c r="E23" s="1">
        <v>0.5</v>
      </c>
      <c r="F23">
        <v>50</v>
      </c>
      <c r="G23" s="2">
        <v>0.5</v>
      </c>
      <c r="H23">
        <v>0.5</v>
      </c>
      <c r="I23">
        <v>50</v>
      </c>
      <c r="J23" s="2">
        <v>0.5</v>
      </c>
      <c r="K23" t="s">
        <v>83</v>
      </c>
    </row>
    <row r="24" spans="1:12">
      <c r="A24" t="s">
        <v>87</v>
      </c>
      <c r="B24" s="73">
        <f t="shared" ref="B24:J24" si="2">(2.093+4.415/(B17/60))/1000/(B4/1000000)</f>
        <v>7.6761797752809011</v>
      </c>
      <c r="C24" s="6">
        <f t="shared" si="2"/>
        <v>7.6761797752809011</v>
      </c>
      <c r="D24" s="6">
        <f t="shared" si="2"/>
        <v>7.6761797752809011</v>
      </c>
      <c r="E24" s="73">
        <f t="shared" si="2"/>
        <v>1.6164331210191085</v>
      </c>
      <c r="F24" s="6">
        <f t="shared" si="2"/>
        <v>1.6164331210191085</v>
      </c>
      <c r="G24" s="74">
        <f t="shared" si="2"/>
        <v>1.6164331210191085</v>
      </c>
      <c r="H24" s="6">
        <f t="shared" si="2"/>
        <v>3.5818295739348374</v>
      </c>
      <c r="I24" s="6">
        <f t="shared" si="2"/>
        <v>3.5818295739348374</v>
      </c>
      <c r="J24" s="74">
        <f t="shared" si="2"/>
        <v>3.5818295739348374</v>
      </c>
      <c r="K24" t="s">
        <v>83</v>
      </c>
    </row>
    <row r="25" spans="1:12">
      <c r="A25" t="s">
        <v>88</v>
      </c>
      <c r="B25" s="64"/>
      <c r="C25" s="10"/>
      <c r="D25" s="10"/>
      <c r="E25" s="64"/>
      <c r="F25" s="10"/>
      <c r="G25" s="63"/>
      <c r="H25" s="10"/>
      <c r="I25" s="10"/>
      <c r="J25" s="63"/>
    </row>
    <row r="26" spans="1:12">
      <c r="A26" t="s">
        <v>89</v>
      </c>
      <c r="B26" s="64"/>
      <c r="C26" s="10"/>
      <c r="D26" s="10"/>
      <c r="E26" s="64"/>
      <c r="F26" s="10"/>
      <c r="G26" s="63"/>
      <c r="H26" s="10"/>
      <c r="I26" s="10"/>
      <c r="J26" s="63"/>
    </row>
    <row r="27" spans="1:12">
      <c r="A27" t="s">
        <v>90</v>
      </c>
      <c r="B27" s="64"/>
      <c r="C27" s="10"/>
      <c r="D27" s="10"/>
      <c r="E27" s="64"/>
      <c r="F27" s="10"/>
      <c r="G27" s="63"/>
      <c r="H27" s="10"/>
      <c r="I27" s="10"/>
      <c r="J27" s="63"/>
    </row>
    <row r="28" spans="1:12">
      <c r="A28" t="s">
        <v>91</v>
      </c>
      <c r="B28" s="64"/>
      <c r="C28" s="10"/>
      <c r="D28" s="10"/>
      <c r="E28" s="64"/>
      <c r="F28" s="10"/>
      <c r="G28" s="63"/>
      <c r="H28" s="10"/>
      <c r="I28" s="10"/>
      <c r="J28" s="63"/>
    </row>
    <row r="29" spans="1:12">
      <c r="A29" t="s">
        <v>92</v>
      </c>
      <c r="B29" s="65">
        <v>65</v>
      </c>
      <c r="C29" s="4">
        <v>170</v>
      </c>
      <c r="D29" s="4">
        <v>65</v>
      </c>
      <c r="E29" s="65">
        <v>2</v>
      </c>
      <c r="F29" s="4">
        <v>50</v>
      </c>
      <c r="G29" s="66">
        <v>2</v>
      </c>
      <c r="H29">
        <v>15</v>
      </c>
      <c r="I29" s="4">
        <v>100</v>
      </c>
      <c r="J29" s="2">
        <v>15</v>
      </c>
      <c r="K29" t="s">
        <v>93</v>
      </c>
    </row>
    <row r="30" spans="1:12">
      <c r="A30" t="s">
        <v>94</v>
      </c>
      <c r="B30" s="1">
        <v>2</v>
      </c>
      <c r="C30">
        <v>2</v>
      </c>
      <c r="D30">
        <v>2</v>
      </c>
      <c r="E30" s="1">
        <v>1</v>
      </c>
      <c r="F30">
        <v>1</v>
      </c>
      <c r="G30" s="2">
        <v>1</v>
      </c>
      <c r="H30">
        <v>1</v>
      </c>
      <c r="I30">
        <v>1</v>
      </c>
      <c r="J30" s="2">
        <v>1</v>
      </c>
      <c r="K30" t="s">
        <v>95</v>
      </c>
      <c r="L30" t="s">
        <v>96</v>
      </c>
    </row>
    <row r="31" spans="1:12" ht="15" thickBot="1">
      <c r="A31" t="s">
        <v>97</v>
      </c>
      <c r="B31" s="89">
        <v>2</v>
      </c>
      <c r="C31" s="103">
        <v>2</v>
      </c>
      <c r="D31" s="103">
        <v>2</v>
      </c>
      <c r="E31" s="89">
        <v>1</v>
      </c>
      <c r="F31" s="103">
        <v>1</v>
      </c>
      <c r="G31" s="91">
        <v>1</v>
      </c>
      <c r="H31" s="103">
        <v>1</v>
      </c>
      <c r="I31" s="103">
        <v>1</v>
      </c>
      <c r="J31" s="91">
        <v>1</v>
      </c>
      <c r="K31" t="s">
        <v>95</v>
      </c>
    </row>
  </sheetData>
  <mergeCells count="4">
    <mergeCell ref="B2:D2"/>
    <mergeCell ref="E2:G2"/>
    <mergeCell ref="H2:J2"/>
    <mergeCell ref="B1:J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4A459-99A4-4A4C-B603-0E4D3B1BE070}">
  <dimension ref="A1:P132"/>
  <sheetViews>
    <sheetView zoomScale="115" zoomScaleNormal="115" workbookViewId="0">
      <pane xSplit="1" ySplit="1" topLeftCell="B16" activePane="bottomRight" state="frozen"/>
      <selection pane="bottomRight" activeCell="B14" sqref="B14"/>
      <selection pane="bottomLeft" activeCell="F35" sqref="F35"/>
      <selection pane="topRight" activeCell="F35" sqref="F35"/>
    </sheetView>
  </sheetViews>
  <sheetFormatPr defaultRowHeight="14.45"/>
  <cols>
    <col min="1" max="1" width="35.7109375" customWidth="1"/>
    <col min="2" max="2" width="15.140625" bestFit="1" customWidth="1"/>
    <col min="3" max="3" width="15.7109375" customWidth="1"/>
    <col min="4" max="4" width="13.42578125" customWidth="1"/>
    <col min="6" max="6" width="12" bestFit="1" customWidth="1"/>
    <col min="7" max="7" width="11.7109375" customWidth="1"/>
    <col min="10" max="11" width="9.140625" bestFit="1" customWidth="1"/>
  </cols>
  <sheetData>
    <row r="1" spans="1:16">
      <c r="B1" t="s">
        <v>57</v>
      </c>
      <c r="C1" t="s">
        <v>58</v>
      </c>
      <c r="D1" t="s">
        <v>59</v>
      </c>
      <c r="E1" t="s">
        <v>98</v>
      </c>
    </row>
    <row r="2" spans="1:16">
      <c r="A2" t="s">
        <v>99</v>
      </c>
      <c r="B2" s="5">
        <f>UI!C22</f>
        <v>1.5</v>
      </c>
      <c r="C2" s="5">
        <f>UI!D22</f>
        <v>0.5</v>
      </c>
      <c r="D2" s="5">
        <f>UI!E22</f>
        <v>0.5</v>
      </c>
      <c r="E2" t="s">
        <v>72</v>
      </c>
    </row>
    <row r="3" spans="1:16" ht="15" thickBot="1">
      <c r="A3" t="s">
        <v>100</v>
      </c>
      <c r="B3" s="5">
        <f>UI!C26</f>
        <v>3</v>
      </c>
      <c r="C3" s="5">
        <f>UI!D26</f>
        <v>1</v>
      </c>
      <c r="D3" s="5">
        <f>UI!E26</f>
        <v>1</v>
      </c>
      <c r="E3" t="s">
        <v>72</v>
      </c>
      <c r="G3" t="s">
        <v>101</v>
      </c>
    </row>
    <row r="4" spans="1:16">
      <c r="A4" t="s">
        <v>102</v>
      </c>
      <c r="B4" s="5">
        <f>UI!C32</f>
        <v>400</v>
      </c>
      <c r="C4" s="5">
        <f>UI!D32</f>
        <v>400</v>
      </c>
      <c r="D4" s="5">
        <f>UI!E32</f>
        <v>400</v>
      </c>
      <c r="E4" t="s">
        <v>72</v>
      </c>
      <c r="G4" s="83" t="s">
        <v>103</v>
      </c>
      <c r="H4" s="170" t="s">
        <v>104</v>
      </c>
      <c r="I4" s="171"/>
      <c r="J4" s="171"/>
      <c r="K4" s="171"/>
      <c r="L4" s="171"/>
      <c r="M4" s="171"/>
      <c r="N4" s="171"/>
      <c r="O4" s="171"/>
      <c r="P4" s="172"/>
    </row>
    <row r="5" spans="1:16">
      <c r="A5" t="s">
        <v>105</v>
      </c>
      <c r="B5" s="75">
        <f>UI!C33/2</f>
        <v>150</v>
      </c>
      <c r="C5" s="75">
        <f>UI!D33/2</f>
        <v>150</v>
      </c>
      <c r="D5" s="75">
        <f>UI!E33/2</f>
        <v>150</v>
      </c>
      <c r="E5" t="s">
        <v>72</v>
      </c>
      <c r="G5" s="84" t="s">
        <v>106</v>
      </c>
      <c r="H5" s="173" t="s">
        <v>107</v>
      </c>
      <c r="I5" s="174"/>
      <c r="J5" s="174"/>
      <c r="K5" s="174"/>
      <c r="L5" s="174"/>
      <c r="M5" s="174"/>
      <c r="N5" s="174"/>
      <c r="O5" s="174"/>
      <c r="P5" s="175"/>
    </row>
    <row r="6" spans="1:16" ht="15" thickBot="1">
      <c r="A6" t="s">
        <v>108</v>
      </c>
      <c r="B6" s="75">
        <f>UI!C34/2</f>
        <v>149.5</v>
      </c>
      <c r="C6" s="75">
        <f>UI!D34/2</f>
        <v>149.5</v>
      </c>
      <c r="D6" s="75">
        <f>UI!E34/2</f>
        <v>149.5</v>
      </c>
      <c r="E6" t="s">
        <v>72</v>
      </c>
      <c r="G6" s="85" t="s">
        <v>109</v>
      </c>
      <c r="H6" s="176" t="s">
        <v>110</v>
      </c>
      <c r="I6" s="177"/>
      <c r="J6" s="177"/>
      <c r="K6" s="177"/>
      <c r="L6" s="177"/>
      <c r="M6" s="177"/>
      <c r="N6" s="177"/>
      <c r="O6" s="177"/>
      <c r="P6" s="178"/>
    </row>
    <row r="7" spans="1:16">
      <c r="A7" t="s">
        <v>111</v>
      </c>
      <c r="B7" s="75">
        <f>UI!C35/2</f>
        <v>149</v>
      </c>
      <c r="C7" s="75">
        <f>UI!D35/2</f>
        <v>149</v>
      </c>
      <c r="D7" s="75">
        <f>UI!E35/2</f>
        <v>149</v>
      </c>
      <c r="E7" t="s">
        <v>72</v>
      </c>
    </row>
    <row r="8" spans="1:16">
      <c r="A8" t="s">
        <v>112</v>
      </c>
      <c r="B8" s="6">
        <f>B5-B7</f>
        <v>1</v>
      </c>
      <c r="C8" s="6">
        <f>C5-C7</f>
        <v>1</v>
      </c>
      <c r="D8" s="6">
        <f>D5-D7</f>
        <v>1</v>
      </c>
      <c r="E8" t="s">
        <v>72</v>
      </c>
    </row>
    <row r="9" spans="1:16">
      <c r="A9" t="s">
        <v>113</v>
      </c>
      <c r="B9" s="6">
        <f>IF(((ROUNDUP((B8)/B3,0)*B3))&lt;(B8+B2),(ROUNDUP((B8+B2)/B3,0)*B3),(ROUNDUP((B8)/B3,0)*B3))</f>
        <v>3</v>
      </c>
      <c r="C9" s="6">
        <f>IF(((ROUNDUP((C8)/C3,0)*C3))&lt;(C8+C2),(ROUNDUP((C8+C2)/C3,0)*C3),(ROUNDUP((C8)/C3,0)*C3))</f>
        <v>2</v>
      </c>
      <c r="D9" s="6">
        <f>IF(((ROUNDUP((D8)/D3,0)*D3))&lt;(D8+D2),(ROUNDUP((D8+D2)/D3,0)*D3),(ROUNDUP((D8)/D3,0)*D3))</f>
        <v>2</v>
      </c>
      <c r="E9" t="s">
        <v>72</v>
      </c>
    </row>
    <row r="10" spans="1:16">
      <c r="A10" t="s">
        <v>114</v>
      </c>
      <c r="B10">
        <f>B7+B9</f>
        <v>152</v>
      </c>
      <c r="C10">
        <f>C7+C9</f>
        <v>151</v>
      </c>
      <c r="D10">
        <f>D7+D9</f>
        <v>151</v>
      </c>
      <c r="E10" t="s">
        <v>72</v>
      </c>
    </row>
    <row r="11" spans="1:16">
      <c r="A11" t="s">
        <v>115</v>
      </c>
      <c r="B11" s="4">
        <f>B9-B8</f>
        <v>2</v>
      </c>
      <c r="C11" s="4">
        <f>C9-C8</f>
        <v>1</v>
      </c>
      <c r="D11" s="4">
        <f>D9-D8</f>
        <v>1</v>
      </c>
      <c r="E11" t="s">
        <v>72</v>
      </c>
    </row>
    <row r="12" spans="1:16">
      <c r="A12" t="s">
        <v>116</v>
      </c>
      <c r="B12" s="3">
        <f>(PI()*B4*B5^2)*B17</f>
        <v>251.64157155254244</v>
      </c>
      <c r="C12" s="3">
        <f>(PI()*C4*C5^2)*C17</f>
        <v>251.64157155254244</v>
      </c>
      <c r="D12" s="3">
        <f>(PI()*D4*D5^2)*D17</f>
        <v>251.64157155254244</v>
      </c>
      <c r="E12" t="s">
        <v>117</v>
      </c>
    </row>
    <row r="13" spans="1:16">
      <c r="B13" s="3"/>
      <c r="C13" s="3"/>
      <c r="D13" s="3"/>
    </row>
    <row r="14" spans="1:16">
      <c r="A14" t="s">
        <v>56</v>
      </c>
      <c r="B14" s="5" t="str" cm="1">
        <f t="array" ref="B14">_xlfn.IFS(UI!$C$6=UI!$G$7,Materiaali!B2,UI!$C$6=UI!$H$7,Materiaali!E2,UI!$C$6=UI!$I$7,Materiaali!H2,UI!$C$6=UI!$J$7,Materiaali!K2,UI!$C$6=UI!$K$7,Materiaali!N2)</f>
        <v>Stellite</v>
      </c>
      <c r="C14" s="3"/>
      <c r="D14" s="3"/>
    </row>
    <row r="15" spans="1:16">
      <c r="A15" t="s">
        <v>60</v>
      </c>
      <c r="B15" s="5" cm="1">
        <f t="array" ref="B15">_xlfn.IFS(UI!$C$6=UI!$G$7,Materiaali!B4,UI!$C$6=UI!$H$7,Materiaali!E4,UI!$C$6=UI!$I$7,Materiaali!H4,UI!$C$6=UI!$J$7,Materiaali!K4,UI!$C$6=UI!$K$7,Materiaali!N4)</f>
        <v>8900</v>
      </c>
      <c r="C15" s="5" cm="1">
        <f t="array" ref="C15">_xlfn.IFS(UI!$C$6=UI!$G$7,Materiaali!C4,UI!$C$6=UI!$H$7,Materiaali!F4,UI!$C$6=UI!$I$7,Materiaali!I4,UI!$C$6=UI!$J$7,Materiaali!L4,UI!$C$6=UI!$K$7,Materiaali!O4)</f>
        <v>8900</v>
      </c>
      <c r="D15" s="5" cm="1">
        <f t="array" ref="D15">_xlfn.IFS(UI!$C$6=UI!$G$7,Materiaali!D4,UI!$C$6=UI!$H$7,Materiaali!G4,UI!$C$6=UI!$I$7,Materiaali!J4,UI!$C$6=UI!$J$7,Materiaali!M4,UI!$C$6=UI!$K$7,Materiaali!P4)</f>
        <v>8900</v>
      </c>
      <c r="E15" t="s">
        <v>61</v>
      </c>
    </row>
    <row r="16" spans="1:16">
      <c r="A16" t="s">
        <v>118</v>
      </c>
      <c r="B16">
        <f>B15/1000000</f>
        <v>8.8999999999999999E-3</v>
      </c>
      <c r="C16">
        <f>C15/1000000</f>
        <v>8.8999999999999999E-3</v>
      </c>
      <c r="D16">
        <f>D15/1000000</f>
        <v>8.8999999999999999E-3</v>
      </c>
      <c r="E16" t="s">
        <v>119</v>
      </c>
    </row>
    <row r="17" spans="1:5">
      <c r="A17" t="s">
        <v>120</v>
      </c>
      <c r="B17">
        <f>B15/1000000000</f>
        <v>8.8999999999999995E-6</v>
      </c>
      <c r="C17">
        <f>C15/1000000000</f>
        <v>8.8999999999999995E-6</v>
      </c>
      <c r="D17">
        <f>D15/1000000000</f>
        <v>8.8999999999999995E-6</v>
      </c>
      <c r="E17" t="s">
        <v>121</v>
      </c>
    </row>
    <row r="18" spans="1:5">
      <c r="A18" t="s">
        <v>122</v>
      </c>
      <c r="B18" s="8">
        <f>((PI()*B10^2*B4)-(PI()*B7^2*B4))*B17</f>
        <v>10.099215071642016</v>
      </c>
      <c r="C18" s="8">
        <f>((PI()*C10^2*C4)-(PI()*C7^2*C4))*C17</f>
        <v>6.7104419080678213</v>
      </c>
      <c r="D18" s="8">
        <f>((PI()*D10^2*D4)-(PI()*D7^2*D4))*D17</f>
        <v>6.7104419080678213</v>
      </c>
      <c r="E18" t="s">
        <v>123</v>
      </c>
    </row>
    <row r="19" spans="1:5">
      <c r="A19" t="s">
        <v>124</v>
      </c>
      <c r="B19" s="8">
        <f>((PI()*B6^2*B4)-(PI()*B7^2*B4))*B17</f>
        <v>1.6692224246318719</v>
      </c>
      <c r="C19" s="8">
        <f>((PI()*C6^2*C4)-(PI()*C7^2*C4))*C17</f>
        <v>1.6692224246318719</v>
      </c>
      <c r="D19" s="8">
        <f>((PI()*D6^2*D4)-(PI()*D7^2*D4))*D17</f>
        <v>1.6692224246318719</v>
      </c>
      <c r="E19" t="s">
        <v>123</v>
      </c>
    </row>
    <row r="20" spans="1:5">
      <c r="A20" t="s">
        <v>125</v>
      </c>
      <c r="B20" s="8">
        <f>((PI()*B10^2*B4)-(PI()*B5^2*B4))*B17</f>
        <v>6.7551781874548675</v>
      </c>
      <c r="C20" s="8">
        <f>((PI()*C10^2*C4)-(PI()*C5^2*C4))*C17</f>
        <v>3.3664050238806724</v>
      </c>
      <c r="D20" s="8">
        <f>((PI()*D10^2*D4)-(PI()*D5^2*D4))*D17</f>
        <v>3.3664050238806724</v>
      </c>
      <c r="E20" t="s">
        <v>123</v>
      </c>
    </row>
    <row r="21" spans="1:5">
      <c r="A21" t="s">
        <v>126</v>
      </c>
      <c r="B21" s="8">
        <f>((PI()*B5^2*B4)-(PI()*B6^2*B4))*B17</f>
        <v>1.6748144595552774</v>
      </c>
      <c r="C21" s="8">
        <f>((PI()*C5^2*C4)-(PI()*C6^2*C4))*C17</f>
        <v>1.6748144595552774</v>
      </c>
      <c r="D21" s="8">
        <f>((PI()*D5^2*D4)-(PI()*D6^2*D4))*D17</f>
        <v>1.6748144595552774</v>
      </c>
      <c r="E21" t="s">
        <v>123</v>
      </c>
    </row>
    <row r="22" spans="1:5">
      <c r="B22" s="3"/>
      <c r="C22" s="3"/>
      <c r="D22" s="3"/>
    </row>
    <row r="23" spans="1:5">
      <c r="A23" t="s">
        <v>62</v>
      </c>
      <c r="B23" s="5" cm="1">
        <f t="array" ref="B23">_xlfn.IFS(UI!$C$6=UI!$G$7,Materiaali!B6,UI!$C$6=UI!$H$7,Materiaali!E6,UI!$C$6=UI!$I$7,Materiaali!H6,UI!$C$6=UI!$J$7,Materiaali!K6,UI!$C$6=UI!$K$7,Materiaali!N6)</f>
        <v>18.2</v>
      </c>
      <c r="C23" s="10"/>
      <c r="D23" s="10"/>
      <c r="E23" t="s">
        <v>127</v>
      </c>
    </row>
    <row r="24" spans="1:5">
      <c r="A24" t="s">
        <v>63</v>
      </c>
      <c r="B24" s="5" cm="1">
        <f t="array" ref="B24">_xlfn.IFS(UI!$C$6=UI!$G$7,Materiaali!B7,UI!$C$6=UI!$H$7,Materiaali!E7,UI!$C$6=UI!$I$7,Materiaali!H7,UI!$C$6=UI!$J$7,Materiaali!K7,UI!$C$6=UI!$K$7,Materiaali!N7)</f>
        <v>180</v>
      </c>
      <c r="C24" s="10"/>
      <c r="D24" s="10"/>
      <c r="E24" t="s">
        <v>128</v>
      </c>
    </row>
    <row r="25" spans="1:5">
      <c r="A25" t="s">
        <v>64</v>
      </c>
      <c r="B25" s="5" cm="1">
        <f t="array" ref="B25">_xlfn.IFS(UI!$C$6=UI!$G$7,Materiaali!B8,UI!$C$6=UI!$H$7,Materiaali!E8,UI!$C$6=UI!$I$7,Materiaali!H8,UI!$C$6=UI!$J$7,Materiaali!K8,UI!$C$6=UI!$K$7,Materiaali!N8)</f>
        <v>3276</v>
      </c>
      <c r="C25" s="5" cm="1">
        <f t="array" ref="C25">_xlfn.IFS(UI!$C$6=UI!$G$7,Materiaali!C8,UI!$C$6=UI!$H$7,Materiaali!F8,UI!$C$6=UI!$I$7,Materiaali!I8,UI!$C$6=UI!$J$7,Materiaali!L8,UI!$C$6=UI!$K$7,Materiaali!O8)</f>
        <v>3000</v>
      </c>
      <c r="D25" s="5" cm="1">
        <f t="array" ref="D25">_xlfn.IFS(UI!$C$6=UI!$G$7,Materiaali!D8,UI!$C$6=UI!$H$7,Materiaali!G8,UI!$C$6=UI!$I$7,Materiaali!J8,UI!$C$6=UI!$J$7,Materiaali!M8,UI!$C$6=UI!$K$7,Materiaali!P8)</f>
        <v>1200</v>
      </c>
      <c r="E25" t="s">
        <v>65</v>
      </c>
    </row>
    <row r="26" spans="1:5">
      <c r="A26" t="s">
        <v>66</v>
      </c>
      <c r="B26" s="56" cm="1">
        <f t="array" ref="B26">_xlfn.IFS(UI!$C$6=UI!$G$7,Materiaali!B9,UI!$C$6=UI!$H$7,Materiaali!E9,UI!$C$6=UI!$I$7,Materiaali!H9,UI!$C$6=UI!$J$7,Materiaali!K9,UI!$C$6=UI!$K$7,Materiaali!N9)</f>
        <v>0.8</v>
      </c>
      <c r="C26" s="56" cm="1">
        <f t="array" ref="C26">_xlfn.IFS(UI!$C$6=UI!$G$7,Materiaali!C9,UI!$C$6=UI!$H$7,Materiaali!F9,UI!$C$6=UI!$I$7,Materiaali!I9,UI!$C$6=UI!$J$7,Materiaali!L9,UI!$C$6=UI!$K$7,Materiaali!O9)</f>
        <v>0.45</v>
      </c>
      <c r="D26" s="56" cm="1">
        <f t="array" ref="D26">_xlfn.IFS(UI!$C$6=UI!$G$7,Materiaali!D9,UI!$C$6=UI!$H$7,Materiaali!G9,UI!$C$6=UI!$I$7,Materiaali!J9,UI!$C$6=UI!$J$7,Materiaali!M9,UI!$C$6=UI!$K$7,Materiaali!P9)</f>
        <v>0.45</v>
      </c>
      <c r="E26" t="s">
        <v>67</v>
      </c>
    </row>
    <row r="27" spans="1:5">
      <c r="A27" t="s">
        <v>68</v>
      </c>
      <c r="B27">
        <f>B25/B26</f>
        <v>4095</v>
      </c>
      <c r="C27" s="3">
        <f>C25/C26</f>
        <v>6666.6666666666661</v>
      </c>
      <c r="D27" s="3">
        <f>D25/D26</f>
        <v>2666.6666666666665</v>
      </c>
      <c r="E27" t="s">
        <v>65</v>
      </c>
    </row>
    <row r="28" spans="1:5">
      <c r="A28" t="s">
        <v>69</v>
      </c>
      <c r="B28" s="57" cm="1">
        <f t="array" ref="B28">_xlfn.IFS(UI!$C$6=UI!$G$7,Materiaali!B11,UI!$C$6=UI!$H$7,Materiaali!E11,UI!$C$6=UI!$I$7,Materiaali!H11,UI!$C$6=UI!$J$7,Materiaali!K11,UI!$C$6=UI!$K$7,Materiaali!N11)</f>
        <v>25</v>
      </c>
      <c r="C28" s="57" cm="1">
        <f t="array" ref="C28">_xlfn.IFS(UI!$C$6=UI!$G$7,Materiaali!C11,UI!$C$6=UI!$H$7,Materiaali!F11,UI!$C$6=UI!$I$7,Materiaali!I11,UI!$C$6=UI!$J$7,Materiaali!L11,UI!$C$6=UI!$K$7,Materiaali!O11)</f>
        <v>13.333333333333334</v>
      </c>
      <c r="D28" s="57" cm="1">
        <f t="array" ref="D28">_xlfn.IFS(UI!$C$6=UI!$G$7,Materiaali!D11,UI!$C$6=UI!$H$7,Materiaali!G11,UI!$C$6=UI!$I$7,Materiaali!J11,UI!$C$6=UI!$J$7,Materiaali!M11,UI!$C$6=UI!$K$7,Materiaali!P11)</f>
        <v>16.666666666666668</v>
      </c>
      <c r="E28" t="s">
        <v>70</v>
      </c>
    </row>
    <row r="29" spans="1:5">
      <c r="A29" t="s">
        <v>71</v>
      </c>
      <c r="B29" s="57" cm="1">
        <f t="array" ref="B29">_xlfn.IFS(UI!$C$6=UI!$G$7,Materiaali!B12,UI!$C$6=UI!$H$7,Materiaali!E12,UI!$C$6=UI!$I$7,Materiaali!H12,UI!$C$6=UI!$J$7,Materiaali!K12,UI!$C$6=UI!$K$7,Materiaali!N12)</f>
        <v>0.6</v>
      </c>
      <c r="C29" s="57" cm="1">
        <f t="array" ref="C29">_xlfn.IFS(UI!$C$6=UI!$G$7,Materiaali!C12,UI!$C$6=UI!$H$7,Materiaali!F12,UI!$C$6=UI!$I$7,Materiaali!I12,UI!$C$6=UI!$J$7,Materiaali!L12,UI!$C$6=UI!$K$7,Materiaali!O12)</f>
        <v>0</v>
      </c>
      <c r="D29" s="57" cm="1">
        <f t="array" ref="D29">_xlfn.IFS(UI!$C$6=UI!$G$7,Materiaali!D12,UI!$C$6=UI!$H$7,Materiaali!G12,UI!$C$6=UI!$I$7,Materiaali!J12,UI!$C$6=UI!$J$7,Materiaali!M12,UI!$C$6=UI!$K$7,Materiaali!P12)</f>
        <v>0.5</v>
      </c>
      <c r="E29" t="s">
        <v>129</v>
      </c>
    </row>
    <row r="30" spans="1:5">
      <c r="A30" t="s">
        <v>73</v>
      </c>
      <c r="B30" s="57" cm="1">
        <f t="array" ref="B30">_xlfn.IFS(UI!$C$6=UI!$G$7,Materiaali!B13,UI!$C$6=UI!$H$7,Materiaali!E13,UI!$C$6=UI!$I$7,Materiaali!H13,UI!$C$6=UI!$J$7,Materiaali!K13,UI!$C$6=UI!$K$7,Materiaali!N13)</f>
        <v>67</v>
      </c>
      <c r="C30" s="68" cm="1">
        <f t="array" ref="C30">_xlfn.IFS(UI!$C$6=UI!$G$7,Materiaali!C13,UI!$C$6=UI!$H$7,Materiaali!F13,UI!$C$6=UI!$I$7,Materiaali!I13,UI!$C$6=UI!$J$7,Materiaali!L13,UI!$C$6=UI!$K$7,Materiaali!O13)</f>
        <v>0</v>
      </c>
      <c r="D30" s="57" cm="1">
        <f t="array" ref="D30">_xlfn.IFS(UI!$C$6=UI!$G$7,Materiaali!D13,UI!$C$6=UI!$H$7,Materiaali!G13,UI!$C$6=UI!$I$7,Materiaali!J13,UI!$C$6=UI!$J$7,Materiaali!M13,UI!$C$6=UI!$K$7,Materiaali!P13)</f>
        <v>18.333333333333332</v>
      </c>
      <c r="E30" t="s">
        <v>70</v>
      </c>
    </row>
    <row r="31" spans="1:5">
      <c r="A31" t="s">
        <v>74</v>
      </c>
      <c r="B31" s="69" cm="1">
        <f t="array" ref="B31">_xlfn.IFS(UI!$C$6=UI!$G$7,Materiaali!B14,UI!$C$6=UI!$H$7,Materiaali!E14,UI!$C$6=UI!$I$7,Materiaali!H14,UI!$C$6=UI!$J$7,Materiaali!K14,UI!$C$6=UI!$K$7,Materiaali!N14)</f>
        <v>0</v>
      </c>
      <c r="C31" s="57" cm="1">
        <f t="array" ref="C31">_xlfn.IFS(UI!$C$6=UI!$G$7,Materiaali!C14,UI!$C$6=UI!$H$7,Materiaali!F14,UI!$C$6=UI!$I$7,Materiaali!I14,UI!$C$6=UI!$J$7,Materiaali!L14,UI!$C$6=UI!$K$7,Materiaali!O14)</f>
        <v>0.41666666666666669</v>
      </c>
      <c r="D31" s="69" cm="1">
        <f t="array" ref="D31">_xlfn.IFS(UI!$C$6=UI!$G$7,Materiaali!D14,UI!$C$6=UI!$H$7,Materiaali!G14,UI!$C$6=UI!$I$7,Materiaali!J14,UI!$C$6=UI!$J$7,Materiaali!M14,UI!$C$6=UI!$K$7,Materiaali!P14)</f>
        <v>0</v>
      </c>
      <c r="E31" t="s">
        <v>75</v>
      </c>
    </row>
    <row r="32" spans="1:5">
      <c r="A32" t="s">
        <v>76</v>
      </c>
      <c r="B32" s="57" cm="1">
        <f t="array" ref="B32">_xlfn.IFS(UI!$C$6=UI!$G$7,Materiaali!B15,UI!$C$6=UI!$H$7,Materiaali!E15,UI!$C$6=UI!$I$7,Materiaali!H15,UI!$C$6=UI!$J$7,Materiaali!K15,UI!$C$6=UI!$K$7,Materiaali!N15)</f>
        <v>0.3</v>
      </c>
      <c r="C32" s="57" cm="1">
        <f t="array" ref="C32">_xlfn.IFS(UI!$C$6=UI!$G$7,Materiaali!C15,UI!$C$6=UI!$H$7,Materiaali!F15,UI!$C$6=UI!$I$7,Materiaali!I15,UI!$C$6=UI!$J$7,Materiaali!L15,UI!$C$6=UI!$K$7,Materiaali!O15)</f>
        <v>0.15833333333333333</v>
      </c>
      <c r="D32" s="57" cm="1">
        <f t="array" ref="D32">_xlfn.IFS(UI!$C$6=UI!$G$7,Materiaali!D15,UI!$C$6=UI!$H$7,Materiaali!G15,UI!$C$6=UI!$I$7,Materiaali!J15,UI!$C$6=UI!$J$7,Materiaali!M15,UI!$C$6=UI!$K$7,Materiaali!P15)</f>
        <v>0.33333333333333331</v>
      </c>
      <c r="E32" t="s">
        <v>77</v>
      </c>
    </row>
    <row r="33" spans="1:6">
      <c r="A33" t="s">
        <v>130</v>
      </c>
      <c r="B33" s="6">
        <f>((B29^2*PI()*B30)*B17)*B46*3600</f>
        <v>2.306445988221983</v>
      </c>
      <c r="C33" s="6">
        <f>C31*C46*3.6</f>
        <v>0.75</v>
      </c>
      <c r="D33" s="6">
        <f>((D29^2*PI()*D30)*D17)*D46*3600</f>
        <v>0.43827573712067797</v>
      </c>
      <c r="E33" t="s">
        <v>131</v>
      </c>
      <c r="F33" s="6"/>
    </row>
    <row r="34" spans="1:6">
      <c r="A34" t="s">
        <v>132</v>
      </c>
      <c r="B34" s="7">
        <v>1</v>
      </c>
      <c r="C34" s="7">
        <v>1</v>
      </c>
      <c r="D34" s="7">
        <v>1</v>
      </c>
      <c r="F34" t="s">
        <v>133</v>
      </c>
    </row>
    <row r="35" spans="1:6">
      <c r="A35" t="s">
        <v>134</v>
      </c>
      <c r="B35" s="3">
        <f>(B25/B26-B25)/B34</f>
        <v>819</v>
      </c>
      <c r="C35" s="3">
        <f>(C25/C26-C25)/C34</f>
        <v>3666.6666666666661</v>
      </c>
      <c r="D35" s="3">
        <f>(D25/D26-D25)/D34</f>
        <v>1466.6666666666665</v>
      </c>
      <c r="E35" t="s">
        <v>65</v>
      </c>
      <c r="F35" t="s">
        <v>135</v>
      </c>
    </row>
    <row r="37" spans="1:6">
      <c r="A37" t="s">
        <v>136</v>
      </c>
      <c r="B37" s="4">
        <f>B18/B33</f>
        <v>4.378691338628486</v>
      </c>
      <c r="C37" s="4">
        <f>C18/C33</f>
        <v>8.9472558774237623</v>
      </c>
      <c r="D37" s="4">
        <f>D18/D33</f>
        <v>15.311004784689052</v>
      </c>
      <c r="E37" t="s">
        <v>137</v>
      </c>
    </row>
    <row r="38" spans="1:6">
      <c r="B38" s="4"/>
      <c r="C38" s="4"/>
      <c r="D38" s="4"/>
    </row>
    <row r="39" spans="1:6">
      <c r="A39" t="s">
        <v>78</v>
      </c>
      <c r="B39" s="5" cm="1">
        <f t="array" ref="B39">_xlfn.IFS(UI!$C$6=UI!$G$7,Materiaali!B17,UI!$C$6=UI!$H$7,Materiaali!E17,UI!$C$6=UI!$I$7,Materiaali!H17,UI!$C$6=UI!$J$7,Materiaali!K17,UI!$C$6=UI!$K$7,Materiaali!N17)</f>
        <v>4</v>
      </c>
      <c r="C39" s="5" cm="1">
        <f t="array" ref="C39">_xlfn.IFS(UI!$C$6=UI!$G$7,Materiaali!C17,UI!$C$6=UI!$H$7,Materiaali!F17,UI!$C$6=UI!$I$7,Materiaali!I17,UI!$C$6=UI!$J$7,Materiaali!L17,UI!$C$6=UI!$K$7,Materiaali!O17)</f>
        <v>4</v>
      </c>
      <c r="D39" s="5" cm="1">
        <f t="array" ref="D39">_xlfn.IFS(UI!$C$6=UI!$G$7,Materiaali!D17,UI!$C$6=UI!$H$7,Materiaali!G17,UI!$C$6=UI!$I$7,Materiaali!J17,UI!$C$6=UI!$J$7,Materiaali!M17,UI!$C$6=UI!$K$7,Materiaali!P17)</f>
        <v>4</v>
      </c>
      <c r="E39" t="s">
        <v>79</v>
      </c>
    </row>
    <row r="40" spans="1:6">
      <c r="A40" t="s">
        <v>138</v>
      </c>
      <c r="B40" s="4">
        <f>(B20)/((B39*(B15/1000000))*60)+((B19)/((Materiaali!E17*(B15/1000000))*60))</f>
        <v>3.2875719922265763</v>
      </c>
      <c r="C40" s="4">
        <f>(C20)/((C39*(C15/1000000))*60)+((C19)/((Materiaali!F17*(C15/1000000))*60))</f>
        <v>1.7010677021637508</v>
      </c>
      <c r="D40" s="4">
        <f>(D20)/((D39*(D15/1000000))*60)+((D19)/((Materiaali!G17*(D15/1000000))*60))</f>
        <v>1.7010677021637508</v>
      </c>
      <c r="E40" t="s">
        <v>137</v>
      </c>
      <c r="F40" t="s">
        <v>139</v>
      </c>
    </row>
    <row r="41" spans="1:6">
      <c r="B41" s="4"/>
      <c r="C41" s="4"/>
      <c r="D41" s="4"/>
    </row>
    <row r="42" spans="1:6">
      <c r="A42" t="s">
        <v>140</v>
      </c>
      <c r="B42" s="75">
        <f>UI!$C14</f>
        <v>1</v>
      </c>
      <c r="C42" s="75">
        <f>UI!$C14</f>
        <v>1</v>
      </c>
      <c r="D42" s="75">
        <f>UI!$C14</f>
        <v>1</v>
      </c>
    </row>
    <row r="43" spans="1:6">
      <c r="A43" t="s">
        <v>141</v>
      </c>
      <c r="B43" s="75">
        <f>UI!$C15</f>
        <v>0</v>
      </c>
      <c r="C43" s="75">
        <f>UI!$C15</f>
        <v>0</v>
      </c>
      <c r="D43" s="75">
        <f>UI!$C15</f>
        <v>0</v>
      </c>
    </row>
    <row r="44" spans="1:6">
      <c r="B44" s="4"/>
      <c r="C44" s="4"/>
      <c r="D44" s="4"/>
    </row>
    <row r="46" spans="1:6">
      <c r="A46" t="s">
        <v>142</v>
      </c>
      <c r="B46" s="12">
        <v>0.95</v>
      </c>
      <c r="C46" s="12">
        <v>0.5</v>
      </c>
      <c r="D46" s="12">
        <v>0.95</v>
      </c>
      <c r="F46" t="s">
        <v>143</v>
      </c>
    </row>
    <row r="47" spans="1:6">
      <c r="A47" t="s">
        <v>144</v>
      </c>
      <c r="B47" s="12">
        <v>0.95</v>
      </c>
      <c r="C47" s="12">
        <v>0.95</v>
      </c>
      <c r="D47" s="12">
        <v>0.95</v>
      </c>
    </row>
    <row r="48" spans="1:6">
      <c r="A48" t="s">
        <v>145</v>
      </c>
      <c r="B48" s="12">
        <v>0.88</v>
      </c>
      <c r="C48" s="12">
        <v>0.95</v>
      </c>
      <c r="D48" s="12">
        <v>0.88</v>
      </c>
    </row>
    <row r="50" spans="1:6">
      <c r="A50" t="s">
        <v>82</v>
      </c>
      <c r="B50" s="76" cm="1">
        <f t="array" ref="B50">_xlfn.IFS(UI!$C$6=UI!$G$7,Materiaali!B20,UI!$C$6=UI!$H$7,Materiaali!E20,UI!$C$6=UI!$I$7,Materiaali!H20,UI!$C$6=UI!$J$7,Materiaali!K20,UI!$C$6=UI!$K$7,Materiaali!N20)</f>
        <v>108</v>
      </c>
      <c r="C50" s="76" cm="1">
        <f t="array" ref="C50">_xlfn.IFS(UI!$C$6=UI!$G$7,Materiaali!C20,UI!$C$6=UI!$H$7,Materiaali!F20,UI!$C$6=UI!$I$7,Materiaali!I20,UI!$C$6=UI!$J$7,Materiaali!L20,UI!$C$6=UI!$K$7,Materiaali!O20)</f>
        <v>108</v>
      </c>
      <c r="D50" s="76" cm="1">
        <f t="array" ref="D50">_xlfn.IFS(UI!$C$6=UI!$G$7,Materiaali!D20,UI!$C$6=UI!$H$7,Materiaali!G20,UI!$C$6=UI!$I$7,Materiaali!J20,UI!$C$6=UI!$J$7,Materiaali!M20,UI!$C$6=UI!$K$7,Materiaali!P20)</f>
        <v>108</v>
      </c>
      <c r="E50" t="s">
        <v>83</v>
      </c>
    </row>
    <row r="51" spans="1:6">
      <c r="A51" t="s">
        <v>84</v>
      </c>
      <c r="B51" s="5" cm="1">
        <f t="array" ref="B51">_xlfn.IFS(UI!$C$6=UI!$G$7,Materiaali!B21,UI!$C$6=UI!$H$7,Materiaali!E21,UI!$C$6=UI!$I$7,Materiaali!H21,UI!$C$6=UI!$J$7,Materiaali!K21,UI!$C$6=UI!$K$7,Materiaali!N21)</f>
        <v>108</v>
      </c>
      <c r="C51" s="5" cm="1">
        <f t="array" ref="C51">_xlfn.IFS(UI!$C$6=UI!$G$7,Materiaali!C21,UI!$C$6=UI!$H$7,Materiaali!F21,UI!$C$6=UI!$I$7,Materiaali!I21,UI!$C$6=UI!$J$7,Materiaali!L21,UI!$C$6=UI!$K$7,Materiaali!O21)</f>
        <v>108</v>
      </c>
      <c r="D51" s="5" cm="1">
        <f t="array" ref="D51">_xlfn.IFS(UI!$C$6=UI!$G$7,Materiaali!D21,UI!$C$6=UI!$H$7,Materiaali!G21,UI!$C$6=UI!$I$7,Materiaali!J21,UI!$C$6=UI!$J$7,Materiaali!M21,UI!$C$6=UI!$K$7,Materiaali!P21)</f>
        <v>108</v>
      </c>
      <c r="E51" t="s">
        <v>83</v>
      </c>
    </row>
    <row r="52" spans="1:6">
      <c r="A52" t="s">
        <v>85</v>
      </c>
      <c r="B52" s="5" cm="1">
        <f t="array" ref="B52">_xlfn.IFS(UI!$C$6=UI!$G$7,Materiaali!B22,UI!$C$6=UI!$H$7,Materiaali!E22,UI!$C$6=UI!$I$7,Materiaali!H22,UI!$C$6=UI!$J$7,Materiaali!K22,UI!$C$6=UI!$K$7,Materiaali!N22)</f>
        <v>20</v>
      </c>
      <c r="C52" s="5" cm="1">
        <f t="array" ref="C52">_xlfn.IFS(UI!$C$6=UI!$G$7,Materiaali!C22,UI!$C$6=UI!$H$7,Materiaali!F22,UI!$C$6=UI!$I$7,Materiaali!I22,UI!$C$6=UI!$J$7,Materiaali!L22,UI!$C$6=UI!$K$7,Materiaali!O22)</f>
        <v>20</v>
      </c>
      <c r="D52" s="5" cm="1">
        <f t="array" ref="D52">_xlfn.IFS(UI!$C$6=UI!$G$7,Materiaali!D22,UI!$C$6=UI!$H$7,Materiaali!G22,UI!$C$6=UI!$I$7,Materiaali!J22,UI!$C$6=UI!$J$7,Materiaali!M22,UI!$C$6=UI!$K$7,Materiaali!P22)</f>
        <v>20</v>
      </c>
      <c r="E52" t="s">
        <v>83</v>
      </c>
    </row>
    <row r="53" spans="1:6">
      <c r="A53" t="s">
        <v>86</v>
      </c>
      <c r="B53" s="5" cm="1">
        <f t="array" ref="B53">_xlfn.IFS(UI!$C$6=UI!$G$7,Materiaali!B23,UI!$C$6=UI!$H$7,Materiaali!E23,UI!$C$6=UI!$I$7,Materiaali!H23,UI!$C$6=UI!$J$7,Materiaali!K23,UI!$C$6=UI!$K$7,Materiaali!N23)</f>
        <v>0.5</v>
      </c>
      <c r="C53" s="5" cm="1">
        <f t="array" ref="C53">_xlfn.IFS(UI!$C$6=UI!$G$7,Materiaali!C23,UI!$C$6=UI!$H$7,Materiaali!F23,UI!$C$6=UI!$I$7,Materiaali!I23,UI!$C$6=UI!$J$7,Materiaali!L23,UI!$C$6=UI!$K$7,Materiaali!O23)</f>
        <v>50</v>
      </c>
      <c r="D53" s="5" cm="1">
        <f t="array" ref="D53">_xlfn.IFS(UI!$C$6=UI!$G$7,Materiaali!D23,UI!$C$6=UI!$H$7,Materiaali!G23,UI!$C$6=UI!$I$7,Materiaali!J23,UI!$C$6=UI!$J$7,Materiaali!M23,UI!$C$6=UI!$K$7,Materiaali!P23)</f>
        <v>0.5</v>
      </c>
      <c r="E53" t="s">
        <v>83</v>
      </c>
    </row>
    <row r="54" spans="1:6">
      <c r="A54" t="s">
        <v>87</v>
      </c>
      <c r="B54" s="75" cm="1">
        <f t="array" ref="B54">_xlfn.IFS(UI!$C$6=UI!$G$7,Materiaali!B24,UI!$C$6=UI!$H$7,Materiaali!E24,UI!$C$6=UI!$I$7,Materiaali!H24,UI!$C$6=UI!$J$7,Materiaali!K24,UI!$C$6=UI!$K$7,Materiaali!N24)</f>
        <v>7.6761797752809011</v>
      </c>
      <c r="C54" s="75" cm="1">
        <f t="array" ref="C54">_xlfn.IFS(UI!$C$6=UI!$G$7,Materiaali!C24,UI!$C$6=UI!$H$7,Materiaali!F24,UI!$C$6=UI!$I$7,Materiaali!I24,UI!$C$6=UI!$J$7,Materiaali!L24,UI!$C$6=UI!$K$7,Materiaali!O24)</f>
        <v>7.6761797752809011</v>
      </c>
      <c r="D54" s="75" cm="1">
        <f t="array" ref="D54">_xlfn.IFS(UI!$C$6=UI!$G$7,Materiaali!D24,UI!$C$6=UI!$H$7,Materiaali!G24,UI!$C$6=UI!$I$7,Materiaali!J24,UI!$C$6=UI!$J$7,Materiaali!M24,UI!$C$6=UI!$K$7,Materiaali!P24)</f>
        <v>7.6761797752809011</v>
      </c>
      <c r="E54" t="s">
        <v>83</v>
      </c>
    </row>
    <row r="55" spans="1:6">
      <c r="A55" t="s">
        <v>88</v>
      </c>
      <c r="B55">
        <v>8.9999999999999993E-3</v>
      </c>
      <c r="C55">
        <v>8.9999999999999993E-3</v>
      </c>
      <c r="D55">
        <v>8.9999999999999993E-3</v>
      </c>
      <c r="E55" t="s">
        <v>146</v>
      </c>
    </row>
    <row r="56" spans="1:6">
      <c r="A56" t="s">
        <v>147</v>
      </c>
      <c r="B56" s="7"/>
      <c r="C56" s="7"/>
      <c r="D56" s="7"/>
      <c r="E56" t="s">
        <v>146</v>
      </c>
      <c r="F56" t="s">
        <v>148</v>
      </c>
    </row>
    <row r="57" spans="1:6">
      <c r="B57" s="9"/>
    </row>
    <row r="58" spans="1:6">
      <c r="A58" t="s">
        <v>149</v>
      </c>
      <c r="B58" s="6">
        <f>B$18/B46</f>
        <v>10.630752706991597</v>
      </c>
      <c r="C58" s="6">
        <f>C$18/C46</f>
        <v>13.420883816135643</v>
      </c>
      <c r="D58" s="6">
        <f>D$18/D46</f>
        <v>7.0636230611240229</v>
      </c>
      <c r="E58" t="s">
        <v>117</v>
      </c>
    </row>
    <row r="59" spans="1:6">
      <c r="A59" t="s">
        <v>150</v>
      </c>
      <c r="B59" s="6">
        <f t="shared" ref="B59:D60" si="0">B58/B47</f>
        <v>11.190266007359577</v>
      </c>
      <c r="C59" s="6">
        <f t="shared" si="0"/>
        <v>14.127246122248046</v>
      </c>
      <c r="D59" s="6">
        <f t="shared" si="0"/>
        <v>7.4353926959200241</v>
      </c>
      <c r="E59" t="s">
        <v>117</v>
      </c>
    </row>
    <row r="60" spans="1:6">
      <c r="A60" t="s">
        <v>151</v>
      </c>
      <c r="B60" s="6">
        <f>B59/B48</f>
        <v>12.716211371999519</v>
      </c>
      <c r="C60" s="6">
        <f>C59/C48</f>
        <v>14.870785391840048</v>
      </c>
      <c r="D60" s="6">
        <f t="shared" si="0"/>
        <v>8.4493098817273005</v>
      </c>
      <c r="E60" t="s">
        <v>117</v>
      </c>
    </row>
    <row r="61" spans="1:6" ht="15" thickBot="1">
      <c r="B61" s="3"/>
      <c r="C61" s="3"/>
      <c r="D61" s="3"/>
    </row>
    <row r="62" spans="1:6">
      <c r="A62" s="86" t="s">
        <v>152</v>
      </c>
      <c r="B62" s="87">
        <f>B60*B51</f>
        <v>1373.350828175948</v>
      </c>
      <c r="C62" s="87">
        <f>C60*C51</f>
        <v>1606.0448223187252</v>
      </c>
      <c r="D62" s="87">
        <f>D60*D51</f>
        <v>912.52546722654847</v>
      </c>
      <c r="E62" s="88" t="s">
        <v>153</v>
      </c>
    </row>
    <row r="63" spans="1:6">
      <c r="A63" s="1" t="s">
        <v>154</v>
      </c>
      <c r="B63" s="3">
        <f>B60*B52</f>
        <v>254.32422743999038</v>
      </c>
      <c r="C63" s="3">
        <f>C60*C52</f>
        <v>297.41570783680095</v>
      </c>
      <c r="D63" s="3">
        <f>D60*D52</f>
        <v>168.98619763454602</v>
      </c>
      <c r="E63" s="2" t="s">
        <v>153</v>
      </c>
    </row>
    <row r="64" spans="1:6">
      <c r="A64" s="1" t="s">
        <v>155</v>
      </c>
      <c r="B64" s="3">
        <f>B59*B53</f>
        <v>5.5951330036797886</v>
      </c>
      <c r="C64" s="3">
        <f>C59*C53</f>
        <v>706.36230611240228</v>
      </c>
      <c r="D64" s="3">
        <f>D59*D53</f>
        <v>3.717696347960012</v>
      </c>
      <c r="E64" s="2" t="s">
        <v>153</v>
      </c>
    </row>
    <row r="65" spans="1:12">
      <c r="A65" s="1" t="s">
        <v>156</v>
      </c>
      <c r="B65" s="3">
        <f>SUM(B62:B64)</f>
        <v>1633.2701886196182</v>
      </c>
      <c r="C65" s="3">
        <f>SUM(C62:C64)</f>
        <v>2609.8228362679283</v>
      </c>
      <c r="D65" s="3">
        <f>SUM(D62:D64)</f>
        <v>1085.2293612090546</v>
      </c>
      <c r="E65" s="2" t="s">
        <v>153</v>
      </c>
    </row>
    <row r="66" spans="1:12">
      <c r="A66" s="1"/>
      <c r="B66" s="3"/>
      <c r="C66" s="3"/>
      <c r="D66" s="3"/>
      <c r="E66" s="2"/>
    </row>
    <row r="67" spans="1:12">
      <c r="A67" s="1" t="s">
        <v>157</v>
      </c>
      <c r="B67" s="3">
        <f>(B32*B37*3600)*B42*B55+(B32*B37*3600)*B43*B56</f>
        <v>42.56087981146888</v>
      </c>
      <c r="C67" s="3">
        <f>(C32*C37*3600)*C42*C55+(C32*C37*3600)*C43*C56</f>
        <v>45.899422651183897</v>
      </c>
      <c r="D67" s="3">
        <f>(D32*D37*3600)*D42*D55+(D32*D37*3600)*D43*D56</f>
        <v>165.35885167464176</v>
      </c>
      <c r="E67" s="2" t="s">
        <v>153</v>
      </c>
    </row>
    <row r="68" spans="1:12">
      <c r="A68" s="1"/>
      <c r="B68" s="3"/>
      <c r="C68" s="3"/>
      <c r="D68" s="3"/>
      <c r="E68" s="2"/>
    </row>
    <row r="69" spans="1:12">
      <c r="A69" s="1" t="s">
        <v>158</v>
      </c>
      <c r="B69" s="6">
        <f>(B27*B37)*3.6/1000</f>
        <v>64.550667714061149</v>
      </c>
      <c r="C69" s="6">
        <f>(C27*C37)*3.6/1000</f>
        <v>214.73414105817025</v>
      </c>
      <c r="D69" s="6">
        <f>(D27*D37)*3.6/1000</f>
        <v>146.98564593301489</v>
      </c>
      <c r="E69" s="2" t="s">
        <v>153</v>
      </c>
    </row>
    <row r="70" spans="1:12">
      <c r="A70" s="1" t="s">
        <v>159</v>
      </c>
      <c r="B70" s="6">
        <f>B69/B18</f>
        <v>6.3916519507853149</v>
      </c>
      <c r="C70" s="6">
        <f>C69/C18</f>
        <v>31.999999999999996</v>
      </c>
      <c r="D70" s="6">
        <f>D69/D18</f>
        <v>21.904018833140807</v>
      </c>
      <c r="E70" s="2" t="s">
        <v>160</v>
      </c>
    </row>
    <row r="71" spans="1:12">
      <c r="A71" s="1" t="s">
        <v>161</v>
      </c>
      <c r="B71" s="6">
        <f>(B35*B37)*3.6/1000</f>
        <v>12.910133542812229</v>
      </c>
      <c r="C71" s="6">
        <f>(C35*C37)*3.6/1000</f>
        <v>118.10377758199364</v>
      </c>
      <c r="D71" s="6">
        <f>(D35*D37)*3.6/1000</f>
        <v>80.842105263158189</v>
      </c>
      <c r="E71" s="2" t="s">
        <v>153</v>
      </c>
    </row>
    <row r="72" spans="1:12">
      <c r="A72" s="1" t="s">
        <v>162</v>
      </c>
      <c r="B72" s="6">
        <f>SUM(B69,B71)</f>
        <v>77.460801256873381</v>
      </c>
      <c r="C72" s="6">
        <f>SUM(C69,C71)</f>
        <v>332.83791864016388</v>
      </c>
      <c r="D72" s="6">
        <f>SUM(D69,D71)</f>
        <v>227.8277511961731</v>
      </c>
      <c r="E72" s="2" t="s">
        <v>153</v>
      </c>
    </row>
    <row r="73" spans="1:12">
      <c r="A73" s="1" t="s">
        <v>163</v>
      </c>
      <c r="B73" s="6">
        <f>B54*(B20+B19)</f>
        <v>64.667213597364267</v>
      </c>
      <c r="C73" s="6">
        <f>C54*(C20+C19)</f>
        <v>38.654381576121359</v>
      </c>
      <c r="D73" s="6">
        <f>D54*(D20+D19)</f>
        <v>38.654381576121359</v>
      </c>
      <c r="E73" s="2" t="s">
        <v>153</v>
      </c>
    </row>
    <row r="74" spans="1:12">
      <c r="A74" s="1"/>
      <c r="E74" s="2"/>
      <c r="I74" s="3"/>
    </row>
    <row r="75" spans="1:12">
      <c r="A75" s="94" t="s">
        <v>164</v>
      </c>
      <c r="B75" s="95">
        <f>SUM(B65,B67,B72,B73)</f>
        <v>1817.9590832853246</v>
      </c>
      <c r="C75" s="95">
        <f>SUM(C65,C67,C72,C73)</f>
        <v>3027.2145591353978</v>
      </c>
      <c r="D75" s="95">
        <f>SUM(D65,D67,D72,D73)</f>
        <v>1517.0703456559906</v>
      </c>
      <c r="E75" s="96" t="s">
        <v>153</v>
      </c>
      <c r="H75" s="3"/>
      <c r="I75" s="3"/>
      <c r="J75" s="3"/>
      <c r="K75" s="3"/>
      <c r="L75" s="3"/>
    </row>
    <row r="76" spans="1:12">
      <c r="A76" s="1"/>
      <c r="E76" s="2"/>
      <c r="H76" s="3"/>
      <c r="I76" s="3"/>
      <c r="J76" s="3"/>
      <c r="K76" s="3"/>
      <c r="L76" s="3"/>
    </row>
    <row r="77" spans="1:12" ht="15" thickBot="1">
      <c r="A77" s="89" t="s">
        <v>165</v>
      </c>
      <c r="B77" s="90">
        <f>B12*B50</f>
        <v>27177.289727674583</v>
      </c>
      <c r="C77" s="90">
        <f>C12*C50</f>
        <v>27177.289727674583</v>
      </c>
      <c r="D77" s="90">
        <f>D12*D50</f>
        <v>27177.289727674583</v>
      </c>
      <c r="E77" s="91" t="s">
        <v>153</v>
      </c>
      <c r="H77" s="3"/>
      <c r="J77" s="3"/>
      <c r="K77" s="3"/>
      <c r="L77" s="3"/>
    </row>
    <row r="79" spans="1:12">
      <c r="A79" t="s">
        <v>166</v>
      </c>
      <c r="B79" s="13">
        <v>400000</v>
      </c>
      <c r="C79" s="13">
        <v>400000</v>
      </c>
      <c r="D79" s="13">
        <v>400000</v>
      </c>
      <c r="E79" t="s">
        <v>167</v>
      </c>
    </row>
    <row r="80" spans="1:12">
      <c r="A80" t="s">
        <v>168</v>
      </c>
      <c r="B80" s="13">
        <v>200000</v>
      </c>
      <c r="C80" s="13">
        <v>200000</v>
      </c>
      <c r="D80" s="13">
        <v>200000</v>
      </c>
      <c r="E80" t="s">
        <v>167</v>
      </c>
    </row>
    <row r="81" spans="1:6">
      <c r="A81" t="s">
        <v>169</v>
      </c>
      <c r="B81" s="7">
        <v>8</v>
      </c>
      <c r="C81" s="7">
        <v>8</v>
      </c>
      <c r="D81" s="7">
        <v>8</v>
      </c>
      <c r="E81" t="s">
        <v>170</v>
      </c>
    </row>
    <row r="82" spans="1:6">
      <c r="A82" t="s">
        <v>171</v>
      </c>
      <c r="B82" s="12">
        <v>0.05</v>
      </c>
      <c r="C82" s="12">
        <v>0.05</v>
      </c>
      <c r="D82" s="12">
        <v>0.05</v>
      </c>
      <c r="E82" t="s">
        <v>67</v>
      </c>
    </row>
    <row r="83" spans="1:6">
      <c r="A83" t="s">
        <v>172</v>
      </c>
      <c r="B83" s="7">
        <v>2000</v>
      </c>
      <c r="C83" s="7">
        <v>2000</v>
      </c>
      <c r="D83" s="7">
        <v>2000</v>
      </c>
      <c r="E83" t="s">
        <v>173</v>
      </c>
      <c r="F83" t="s">
        <v>174</v>
      </c>
    </row>
    <row r="84" spans="1:6">
      <c r="A84" t="s">
        <v>175</v>
      </c>
      <c r="B84" s="7">
        <v>2000</v>
      </c>
      <c r="C84" s="7">
        <v>2000</v>
      </c>
      <c r="D84" s="7">
        <v>2000</v>
      </c>
      <c r="E84" t="s">
        <v>173</v>
      </c>
      <c r="F84" t="s">
        <v>174</v>
      </c>
    </row>
    <row r="85" spans="1:6">
      <c r="A85" t="s">
        <v>176</v>
      </c>
      <c r="B85" s="78">
        <f>1+(B37*0.3)</f>
        <v>2.3136074015885457</v>
      </c>
      <c r="C85" s="78">
        <f>1+(C37*0.3)</f>
        <v>3.6841767632271285</v>
      </c>
      <c r="D85" s="78">
        <f>1+(D37*0.3)</f>
        <v>5.5933014354067154</v>
      </c>
      <c r="E85" t="s">
        <v>137</v>
      </c>
      <c r="F85" t="s">
        <v>177</v>
      </c>
    </row>
    <row r="86" spans="1:6">
      <c r="A86" t="s">
        <v>178</v>
      </c>
      <c r="B86" s="78">
        <f>1+(B40*0.3)</f>
        <v>1.9862715976679728</v>
      </c>
      <c r="C86" s="78">
        <f>1+(C40*0.3)</f>
        <v>1.5103203106491252</v>
      </c>
      <c r="D86" s="78">
        <f>1+(D40*0.3)</f>
        <v>1.5103203106491252</v>
      </c>
      <c r="E86" t="s">
        <v>137</v>
      </c>
      <c r="F86" t="s">
        <v>177</v>
      </c>
    </row>
    <row r="88" spans="1:6">
      <c r="A88" t="s">
        <v>179</v>
      </c>
      <c r="B88" s="4">
        <f>((B79/B81)+(B79/B81)*B82)/B83</f>
        <v>26.25</v>
      </c>
      <c r="C88" s="4">
        <f>((C79/C81)+(C79/C81)*C82)/C83</f>
        <v>26.25</v>
      </c>
      <c r="D88" s="4">
        <f>((D79/D81)+(D79/D81)*D82)/D83</f>
        <v>26.25</v>
      </c>
      <c r="E88" t="s">
        <v>180</v>
      </c>
    </row>
    <row r="89" spans="1:6">
      <c r="A89" t="s">
        <v>181</v>
      </c>
      <c r="B89" s="4">
        <f>((B80/B81)+(B80/B81)*B82)/B84</f>
        <v>13.125</v>
      </c>
      <c r="C89" s="4">
        <f>((C80/C81)+(C80/C81)*C82)/C84</f>
        <v>13.125</v>
      </c>
      <c r="D89" s="4">
        <f>((D80/D81)+(D80/D81)*D82)/D84</f>
        <v>13.125</v>
      </c>
      <c r="E89" t="s">
        <v>180</v>
      </c>
    </row>
    <row r="90" spans="1:6">
      <c r="A90" t="s">
        <v>90</v>
      </c>
      <c r="B90" s="14">
        <v>0.02</v>
      </c>
      <c r="C90" s="14">
        <v>0.02</v>
      </c>
      <c r="D90" s="14">
        <v>0.02</v>
      </c>
      <c r="E90" t="s">
        <v>182</v>
      </c>
      <c r="F90" t="s">
        <v>183</v>
      </c>
    </row>
    <row r="91" spans="1:6">
      <c r="A91" t="s">
        <v>184</v>
      </c>
      <c r="B91" s="14">
        <v>0.01</v>
      </c>
      <c r="C91" s="14">
        <v>0.01</v>
      </c>
      <c r="D91" s="14">
        <v>0.01</v>
      </c>
      <c r="E91" t="s">
        <v>182</v>
      </c>
      <c r="F91" t="s">
        <v>185</v>
      </c>
    </row>
    <row r="92" spans="1:6">
      <c r="A92" t="s">
        <v>92</v>
      </c>
      <c r="B92" s="5" cm="1">
        <f t="array" ref="B92">_xlfn.IFS(UI!$C$6=UI!$G$7,Materiaali!B29,UI!$C$6=UI!$H$7,Materiaali!E29,UI!$C$6=UI!$I$7,Materiaali!H29,UI!$C$6=UI!$J$7,Materiaali!K29,UI!$C$6=UI!$K$7,Materiaali!N29)</f>
        <v>65</v>
      </c>
      <c r="C92" s="5" cm="1">
        <f t="array" ref="C92">_xlfn.IFS(UI!$C$6=UI!$G$7,Materiaali!C29,UI!$C$6=UI!$H$7,Materiaali!F29,UI!$C$6=UI!$I$7,Materiaali!I29,UI!$C$6=UI!$J$7,Materiaali!L29,UI!$C$6=UI!$K$7,Materiaali!O29)</f>
        <v>170</v>
      </c>
      <c r="D92" s="5" cm="1">
        <f t="array" ref="D92">_xlfn.IFS(UI!$C$6=UI!$G$7,Materiaali!D29,UI!$C$6=UI!$H$7,Materiaali!G29,UI!$C$6=UI!$I$7,Materiaali!J29,UI!$C$6=UI!$J$7,Materiaali!M29,UI!$C$6=UI!$K$7,Materiaali!P29)</f>
        <v>65</v>
      </c>
      <c r="E92" t="s">
        <v>93</v>
      </c>
    </row>
    <row r="93" spans="1:6">
      <c r="A93" t="s">
        <v>186</v>
      </c>
      <c r="B93" s="80">
        <f>0.15/3.6</f>
        <v>4.1666666666666664E-2</v>
      </c>
      <c r="C93" s="80">
        <f>0.15/3.6</f>
        <v>4.1666666666666664E-2</v>
      </c>
      <c r="D93" s="80">
        <f>0.15/3.6</f>
        <v>4.1666666666666664E-2</v>
      </c>
      <c r="E93" t="s">
        <v>187</v>
      </c>
      <c r="F93" t="s">
        <v>188</v>
      </c>
    </row>
    <row r="94" spans="1:6">
      <c r="A94" t="s">
        <v>189</v>
      </c>
      <c r="B94" s="11">
        <v>40</v>
      </c>
      <c r="C94" s="11">
        <v>40</v>
      </c>
      <c r="D94" s="11">
        <v>40</v>
      </c>
      <c r="E94" t="s">
        <v>180</v>
      </c>
    </row>
    <row r="95" spans="1:6" ht="15" thickBot="1"/>
    <row r="96" spans="1:6">
      <c r="A96" s="86" t="s">
        <v>190</v>
      </c>
      <c r="B96" s="92">
        <f>B88*B37</f>
        <v>114.94064763899776</v>
      </c>
      <c r="C96" s="92">
        <f>C88*C37</f>
        <v>234.86546678237377</v>
      </c>
      <c r="D96" s="92">
        <f>D88*D37</f>
        <v>401.9138755980876</v>
      </c>
      <c r="E96" s="88" t="s">
        <v>167</v>
      </c>
    </row>
    <row r="97" spans="1:6">
      <c r="A97" s="1" t="s">
        <v>191</v>
      </c>
      <c r="B97" s="93">
        <f>(B18/B46)*B92</f>
        <v>690.99892595445385</v>
      </c>
      <c r="C97" s="93">
        <f>(C18/C46)*C92</f>
        <v>2281.5502487430595</v>
      </c>
      <c r="D97" s="93">
        <f>(D18/D46)*D92</f>
        <v>459.13549897306149</v>
      </c>
      <c r="E97" s="2" t="s">
        <v>167</v>
      </c>
    </row>
    <row r="98" spans="1:6">
      <c r="A98" s="1" t="s">
        <v>192</v>
      </c>
      <c r="B98" s="93">
        <f>(B32*B37*3600)*B42*B90+(B32*B37*3600)*B43*B91</f>
        <v>94.579732914375299</v>
      </c>
      <c r="C98" s="93">
        <f>(C32*C37*3600)*C42*C90+(C32*C37*3600)*C43*C91</f>
        <v>101.9987170026309</v>
      </c>
      <c r="D98" s="93">
        <f>(D32*D37*3600)*D42*D90+(D32*D37*3600)*D43*D91</f>
        <v>367.46411483253723</v>
      </c>
      <c r="E98" s="2" t="s">
        <v>167</v>
      </c>
    </row>
    <row r="99" spans="1:6">
      <c r="A99" s="1" t="s">
        <v>193</v>
      </c>
      <c r="B99" s="93">
        <f>(B69+B71)*B93</f>
        <v>3.2275333857030573</v>
      </c>
      <c r="C99" s="93">
        <f>(C69+C71)*C93</f>
        <v>13.868246610006828</v>
      </c>
      <c r="D99" s="93">
        <f>(D69+D71)*D93</f>
        <v>9.4928229665072124</v>
      </c>
      <c r="E99" s="2" t="s">
        <v>167</v>
      </c>
    </row>
    <row r="100" spans="1:6">
      <c r="A100" s="1" t="s">
        <v>194</v>
      </c>
      <c r="B100" s="93">
        <f>B94*B85</f>
        <v>92.544296063541822</v>
      </c>
      <c r="C100" s="93">
        <f>C94*C85</f>
        <v>147.36707052908514</v>
      </c>
      <c r="D100" s="93">
        <f>D94*D85</f>
        <v>223.73205741626862</v>
      </c>
      <c r="E100" s="2" t="s">
        <v>167</v>
      </c>
    </row>
    <row r="101" spans="1:6">
      <c r="A101" s="1" t="s">
        <v>195</v>
      </c>
      <c r="B101" s="93">
        <f>SUM(B96:B100)</f>
        <v>996.2911359570719</v>
      </c>
      <c r="C101" s="93">
        <f>SUM(C96:C100)</f>
        <v>2779.6497496671564</v>
      </c>
      <c r="D101" s="93">
        <f>SUM(D96:D100)</f>
        <v>1461.7383697864623</v>
      </c>
      <c r="E101" s="2"/>
    </row>
    <row r="102" spans="1:6">
      <c r="A102" s="1"/>
      <c r="B102" s="93"/>
      <c r="C102" s="93"/>
      <c r="D102" s="93"/>
      <c r="E102" s="2"/>
    </row>
    <row r="103" spans="1:6">
      <c r="A103" s="1" t="s">
        <v>196</v>
      </c>
      <c r="B103" s="93">
        <f>B93*B73</f>
        <v>2.6944672332235111</v>
      </c>
      <c r="C103" s="93">
        <f>C93*C73</f>
        <v>1.61059923233839</v>
      </c>
      <c r="D103" s="93">
        <f>D93*D73</f>
        <v>1.61059923233839</v>
      </c>
      <c r="E103" s="2" t="s">
        <v>167</v>
      </c>
    </row>
    <row r="104" spans="1:6">
      <c r="A104" s="1" t="s">
        <v>197</v>
      </c>
      <c r="B104" s="93">
        <f>B94*B86</f>
        <v>79.450863906718908</v>
      </c>
      <c r="C104" s="93">
        <f>C94*C86</f>
        <v>60.412812425965008</v>
      </c>
      <c r="D104" s="93">
        <f>D94*D86</f>
        <v>60.412812425965008</v>
      </c>
      <c r="E104" s="2" t="s">
        <v>167</v>
      </c>
    </row>
    <row r="105" spans="1:6">
      <c r="A105" s="1" t="s">
        <v>198</v>
      </c>
      <c r="B105" s="93">
        <f>B40*B89</f>
        <v>43.149382397973817</v>
      </c>
      <c r="C105" s="93">
        <f>C40*C89</f>
        <v>22.326513590899228</v>
      </c>
      <c r="D105" s="93">
        <f>D40*D89</f>
        <v>22.326513590899228</v>
      </c>
      <c r="E105" s="2" t="s">
        <v>167</v>
      </c>
    </row>
    <row r="106" spans="1:6">
      <c r="A106" s="1" t="s">
        <v>199</v>
      </c>
      <c r="B106" s="93">
        <f>SUM(B103:B105)</f>
        <v>125.29471353791624</v>
      </c>
      <c r="C106" s="93">
        <f>SUM(C103:C105)</f>
        <v>84.349925249202627</v>
      </c>
      <c r="D106" s="93">
        <f>SUM(D103:D105)</f>
        <v>84.349925249202627</v>
      </c>
      <c r="E106" s="2"/>
    </row>
    <row r="107" spans="1:6">
      <c r="A107" s="1"/>
      <c r="B107" s="93"/>
      <c r="C107" s="93"/>
      <c r="D107" s="93"/>
      <c r="E107" s="2"/>
    </row>
    <row r="108" spans="1:6" ht="15" thickBot="1">
      <c r="A108" s="97" t="s">
        <v>200</v>
      </c>
      <c r="B108" s="98">
        <f>SUM(B101,B106)</f>
        <v>1121.5858494949882</v>
      </c>
      <c r="C108" s="98">
        <f>SUM(C101,C106)</f>
        <v>2863.9996749163588</v>
      </c>
      <c r="D108" s="98">
        <f>SUM(D101,D106)</f>
        <v>1546.0882950356649</v>
      </c>
      <c r="E108" s="99" t="s">
        <v>167</v>
      </c>
    </row>
    <row r="111" spans="1:6">
      <c r="A111" t="s">
        <v>94</v>
      </c>
      <c r="B111" s="5" cm="1">
        <f t="array" ref="B111">_xlfn.IFS(UI!$C$6=UI!$G$7,Materiaali!B30,UI!$C$6=UI!$H$7,Materiaali!E30,UI!$C$6=UI!$I$7,Materiaali!H30,UI!$C$6=UI!$J$7,Materiaali!K30,UI!$C$6=UI!$K$7,Materiaali!N30)</f>
        <v>2</v>
      </c>
      <c r="C111" s="5" cm="1">
        <f t="array" ref="C111">_xlfn.IFS(UI!$C$6=UI!$G$7,Materiaali!C30,UI!$C$6=UI!$H$7,Materiaali!F30,UI!$C$6=UI!$I$7,Materiaali!I30,UI!$C$6=UI!$J$7,Materiaali!L30,UI!$C$6=UI!$K$7,Materiaali!O30)</f>
        <v>2</v>
      </c>
      <c r="D111" s="5" cm="1">
        <f t="array" ref="D111">_xlfn.IFS(UI!$C$6=UI!$G$7,Materiaali!D30,UI!$C$6=UI!$H$7,Materiaali!G30,UI!$C$6=UI!$I$7,Materiaali!J30,UI!$C$6=UI!$J$7,Materiaali!M30,UI!$C$6=UI!$K$7,Materiaali!P30)</f>
        <v>2</v>
      </c>
      <c r="F111" t="s">
        <v>201</v>
      </c>
    </row>
    <row r="112" spans="1:6">
      <c r="A112" t="s">
        <v>97</v>
      </c>
      <c r="B112" s="76">
        <f>Materiaali!E31</f>
        <v>1</v>
      </c>
      <c r="C112" s="76">
        <f>Materiaali!F31</f>
        <v>1</v>
      </c>
      <c r="D112" s="76">
        <f>Materiaali!G31</f>
        <v>1</v>
      </c>
      <c r="F112" t="s">
        <v>202</v>
      </c>
    </row>
    <row r="113" spans="1:8">
      <c r="A113" t="s">
        <v>203</v>
      </c>
      <c r="B113" s="5">
        <f>UI!$C$45</f>
        <v>10</v>
      </c>
      <c r="C113" s="5">
        <f>UI!$C$45</f>
        <v>10</v>
      </c>
      <c r="D113" s="5">
        <f>UI!$C$45</f>
        <v>10</v>
      </c>
      <c r="E113" t="s">
        <v>170</v>
      </c>
    </row>
    <row r="114" spans="1:8">
      <c r="A114" t="s">
        <v>204</v>
      </c>
      <c r="B114" s="5">
        <f>UI!$C$43</f>
        <v>2</v>
      </c>
      <c r="C114" s="5">
        <f>UI!$C$43</f>
        <v>2</v>
      </c>
      <c r="D114" s="5">
        <f>UI!$C$43</f>
        <v>2</v>
      </c>
      <c r="E114" t="s">
        <v>170</v>
      </c>
    </row>
    <row r="115" spans="1:8">
      <c r="A115" t="s">
        <v>205</v>
      </c>
      <c r="B115" s="3">
        <f>(B111/B112)*B114</f>
        <v>4</v>
      </c>
      <c r="C115" s="3">
        <f>(C111/C112)*C114</f>
        <v>4</v>
      </c>
      <c r="D115" s="3">
        <f>(D111/D112)*D114</f>
        <v>4</v>
      </c>
      <c r="E115" t="s">
        <v>170</v>
      </c>
    </row>
    <row r="116" spans="1:8">
      <c r="A116" t="s">
        <v>206</v>
      </c>
      <c r="B116" s="71">
        <f>UI!$C$41</f>
        <v>0</v>
      </c>
      <c r="C116" s="71">
        <f>UI!$C$41</f>
        <v>0</v>
      </c>
      <c r="D116" s="71">
        <f>UI!$C$41</f>
        <v>0</v>
      </c>
      <c r="E116" t="s">
        <v>167</v>
      </c>
    </row>
    <row r="117" spans="1:8">
      <c r="A117" t="s">
        <v>207</v>
      </c>
      <c r="B117" s="71">
        <f>(B113/Laskenta!B115)*B108</f>
        <v>2803.9646237374704</v>
      </c>
      <c r="C117" s="71">
        <f>(C113/Laskenta!C115)*C108</f>
        <v>7159.9991872908968</v>
      </c>
      <c r="D117" s="71">
        <f>(D113/Laskenta!D115)*D108</f>
        <v>3865.2207375891621</v>
      </c>
      <c r="E117" t="s">
        <v>167</v>
      </c>
      <c r="F117" t="s">
        <v>208</v>
      </c>
    </row>
    <row r="118" spans="1:8">
      <c r="A118" t="s">
        <v>209</v>
      </c>
      <c r="B118" s="71">
        <f>B108*B113/B114</f>
        <v>5607.9292474749409</v>
      </c>
      <c r="C118" s="71">
        <f t="shared" ref="C118:D118" si="1">C108*C113/C114</f>
        <v>14319.998374581794</v>
      </c>
      <c r="D118" s="71">
        <f t="shared" si="1"/>
        <v>7730.4414751783243</v>
      </c>
      <c r="E118" t="s">
        <v>167</v>
      </c>
      <c r="F118" t="s">
        <v>210</v>
      </c>
    </row>
    <row r="119" spans="1:8">
      <c r="A119" t="s">
        <v>211</v>
      </c>
      <c r="B119" s="71">
        <f>B116*(UI!$C$45/UI!$C$43)</f>
        <v>0</v>
      </c>
      <c r="C119" s="71">
        <f>C116*(UI!$C$45/UI!$C$43)</f>
        <v>0</v>
      </c>
      <c r="D119" s="71">
        <f>D116*(UI!$C$45/UI!$C$43)</f>
        <v>0</v>
      </c>
      <c r="E119" t="s">
        <v>167</v>
      </c>
    </row>
    <row r="120" spans="1:8">
      <c r="A120" t="s">
        <v>212</v>
      </c>
      <c r="B120" s="3">
        <f>B113/B115*B75</f>
        <v>4544.8977082133115</v>
      </c>
      <c r="C120" s="3">
        <f>C113/C115*C75</f>
        <v>7568.0363978384948</v>
      </c>
      <c r="D120" s="3">
        <f>D113/D115*D75</f>
        <v>3792.6758641399765</v>
      </c>
    </row>
    <row r="121" spans="1:8">
      <c r="A121" t="s">
        <v>213</v>
      </c>
      <c r="B121" s="3">
        <f>B113/B114*B77</f>
        <v>135886.44863837291</v>
      </c>
      <c r="C121" s="3">
        <f>C113/C114*C77</f>
        <v>135886.44863837291</v>
      </c>
      <c r="D121" s="3">
        <f>D113/D114*D77</f>
        <v>135886.44863837291</v>
      </c>
    </row>
    <row r="124" spans="1:8" ht="15" thickBot="1">
      <c r="A124" s="124" t="s">
        <v>214</v>
      </c>
      <c r="B124" t="s">
        <v>56</v>
      </c>
      <c r="F124" t="s">
        <v>215</v>
      </c>
    </row>
    <row r="125" spans="1:8">
      <c r="A125" t="s">
        <v>216</v>
      </c>
      <c r="B125" s="86" t="s">
        <v>57</v>
      </c>
      <c r="C125" s="105" t="s">
        <v>58</v>
      </c>
      <c r="D125" s="88" t="s">
        <v>59</v>
      </c>
      <c r="E125" s="119" t="s">
        <v>217</v>
      </c>
      <c r="F125" s="86" t="s">
        <v>218</v>
      </c>
      <c r="G125" s="105" t="s">
        <v>219</v>
      </c>
      <c r="H125" s="88" t="s">
        <v>220</v>
      </c>
    </row>
    <row r="126" spans="1:8">
      <c r="A126">
        <f>B114</f>
        <v>2</v>
      </c>
      <c r="B126" s="111">
        <f>B108</f>
        <v>1121.5858494949882</v>
      </c>
      <c r="C126" s="93">
        <f t="shared" ref="C126:D126" si="2">C108</f>
        <v>2863.9996749163588</v>
      </c>
      <c r="D126" s="112">
        <f t="shared" si="2"/>
        <v>1546.0882950356649</v>
      </c>
      <c r="E126" s="120">
        <f>B116</f>
        <v>0</v>
      </c>
      <c r="F126" s="106"/>
      <c r="G126" s="7"/>
      <c r="H126" s="107"/>
    </row>
    <row r="127" spans="1:8" ht="15" thickBot="1">
      <c r="A127">
        <f>B113</f>
        <v>10</v>
      </c>
      <c r="B127" s="113">
        <f>B117</f>
        <v>2803.9646237374704</v>
      </c>
      <c r="C127" s="114">
        <f t="shared" ref="C127:D127" si="3">C117</f>
        <v>7159.9991872908968</v>
      </c>
      <c r="D127" s="115">
        <f t="shared" si="3"/>
        <v>3865.2207375891621</v>
      </c>
      <c r="E127" s="121">
        <f>B119</f>
        <v>0</v>
      </c>
      <c r="F127" s="108"/>
      <c r="G127" s="109"/>
      <c r="H127" s="110"/>
    </row>
    <row r="129" spans="1:8" ht="15" thickBot="1">
      <c r="B129" t="s">
        <v>56</v>
      </c>
      <c r="F129" t="s">
        <v>221</v>
      </c>
    </row>
    <row r="130" spans="1:8">
      <c r="A130" t="s">
        <v>216</v>
      </c>
      <c r="B130" s="86" t="s">
        <v>57</v>
      </c>
      <c r="C130" s="105" t="s">
        <v>58</v>
      </c>
      <c r="D130" s="88" t="s">
        <v>59</v>
      </c>
      <c r="E130" s="119" t="s">
        <v>217</v>
      </c>
      <c r="F130" s="86" t="s">
        <v>218</v>
      </c>
      <c r="G130" s="105" t="s">
        <v>219</v>
      </c>
      <c r="H130" s="88" t="s">
        <v>220</v>
      </c>
    </row>
    <row r="131" spans="1:8">
      <c r="A131">
        <f>B114</f>
        <v>2</v>
      </c>
      <c r="B131" s="67">
        <f>B75</f>
        <v>1817.9590832853246</v>
      </c>
      <c r="C131" s="3">
        <f t="shared" ref="C131:D131" si="4">C75</f>
        <v>3027.2145591353978</v>
      </c>
      <c r="D131" s="116">
        <f t="shared" si="4"/>
        <v>1517.0703456559906</v>
      </c>
      <c r="E131" s="122">
        <f>B77</f>
        <v>27177.289727674583</v>
      </c>
      <c r="F131" s="106"/>
      <c r="G131" s="7"/>
      <c r="H131" s="107"/>
    </row>
    <row r="132" spans="1:8" ht="15" thickBot="1">
      <c r="A132">
        <f>B113</f>
        <v>10</v>
      </c>
      <c r="B132" s="117">
        <f>B120</f>
        <v>4544.8977082133115</v>
      </c>
      <c r="C132" s="90">
        <f t="shared" ref="C132:D132" si="5">C120</f>
        <v>7568.0363978384948</v>
      </c>
      <c r="D132" s="118">
        <f t="shared" si="5"/>
        <v>3792.6758641399765</v>
      </c>
      <c r="E132" s="123">
        <f>B121</f>
        <v>135886.44863837291</v>
      </c>
      <c r="F132" s="108"/>
      <c r="G132" s="109"/>
      <c r="H132" s="110"/>
    </row>
  </sheetData>
  <mergeCells count="3">
    <mergeCell ref="H4:P4"/>
    <mergeCell ref="H5:P5"/>
    <mergeCell ref="H6:P6"/>
  </mergeCells>
  <phoneticPr fontId="2"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F8FB1-F16E-440C-B836-D845DA3EAEA6}">
  <dimension ref="A1"/>
  <sheetViews>
    <sheetView topLeftCell="A73" workbookViewId="0">
      <selection activeCell="M24" sqref="M24"/>
    </sheetView>
  </sheetViews>
  <sheetFormatPr defaultRowHeight="14.4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798B2-E062-478C-826A-0C00B00FB985}">
  <dimension ref="A1"/>
  <sheetViews>
    <sheetView topLeftCell="A46" workbookViewId="0">
      <selection activeCell="L51" sqref="L51"/>
    </sheetView>
  </sheetViews>
  <sheetFormatPr defaultRowHeight="14.4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005EB4E385297E4D8A3B572282A44238" ma:contentTypeVersion="14" ma:contentTypeDescription="Luo uusi asiakirja." ma:contentTypeScope="" ma:versionID="d81488392ba5d9775881765043c5d358">
  <xsd:schema xmlns:xsd="http://www.w3.org/2001/XMLSchema" xmlns:xs="http://www.w3.org/2001/XMLSchema" xmlns:p="http://schemas.microsoft.com/office/2006/metadata/properties" xmlns:ns2="d7b5657c-d793-49e0-a3c3-60ef3db25834" xmlns:ns3="54fea5fa-c2e6-41d2-b9dc-b617dd3a164c" targetNamespace="http://schemas.microsoft.com/office/2006/metadata/properties" ma:root="true" ma:fieldsID="23d8f1ae0f1f72f5726ba428bb44008a" ns2:_="" ns3:_="">
    <xsd:import namespace="d7b5657c-d793-49e0-a3c3-60ef3db25834"/>
    <xsd:import namespace="54fea5fa-c2e6-41d2-b9dc-b617dd3a164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b5657c-d793-49e0-a3c3-60ef3db258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Kuvien tunnisteet" ma:readOnly="false" ma:fieldId="{5cf76f15-5ced-4ddc-b409-7134ff3c332f}" ma:taxonomyMulti="true" ma:sspId="b22d91eb-fd3c-4dd4-8d0c-bb647468a1a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4fea5fa-c2e6-41d2-b9dc-b617dd3a164c" elementFormDefault="qualified">
    <xsd:import namespace="http://schemas.microsoft.com/office/2006/documentManagement/types"/>
    <xsd:import namespace="http://schemas.microsoft.com/office/infopath/2007/PartnerControls"/>
    <xsd:element name="SharedWithUsers" ma:index="11"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Jakamisen tiedot" ma:internalName="SharedWithDetails" ma:readOnly="true">
      <xsd:simpleType>
        <xsd:restriction base="dms:Note">
          <xsd:maxLength value="255"/>
        </xsd:restriction>
      </xsd:simpleType>
    </xsd:element>
    <xsd:element name="TaxCatchAll" ma:index="16" nillable="true" ma:displayName="Taxonomy Catch All Column" ma:hidden="true" ma:list="{278680e2-160f-417f-9337-770fb31976f6}" ma:internalName="TaxCatchAll" ma:showField="CatchAllData" ma:web="54fea5fa-c2e6-41d2-b9dc-b617dd3a16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4fea5fa-c2e6-41d2-b9dc-b617dd3a164c" xsi:nil="true"/>
    <lcf76f155ced4ddcb4097134ff3c332f xmlns="d7b5657c-d793-49e0-a3c3-60ef3db2583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F21DC09-0FA4-4F0A-8298-208589B54F48}"/>
</file>

<file path=customXml/itemProps2.xml><?xml version="1.0" encoding="utf-8"?>
<ds:datastoreItem xmlns:ds="http://schemas.openxmlformats.org/officeDocument/2006/customXml" ds:itemID="{D00728B8-CC9B-4A6C-9AA6-E40CA461004B}"/>
</file>

<file path=customXml/itemProps3.xml><?xml version="1.0" encoding="utf-8"?>
<ds:datastoreItem xmlns:ds="http://schemas.openxmlformats.org/officeDocument/2006/customXml" ds:itemID="{F26FFA76-8672-401F-B4A5-BA0D94FA49E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 Haapa</dc:creator>
  <cp:keywords/>
  <dc:description/>
  <cp:lastModifiedBy>Karhu Miikka</cp:lastModifiedBy>
  <cp:revision/>
  <dcterms:created xsi:type="dcterms:W3CDTF">2015-06-05T18:17:20Z</dcterms:created>
  <dcterms:modified xsi:type="dcterms:W3CDTF">2026-09-14T11:20:25Z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0x010100005EB4E385297E4D8A3B572282A44238</vt:lpwstr>
  </property>
  <property fmtid="{D5CDD505-2E9C-101B-9397-08002B2CF9AE}" pid="3" name="MSIP_Label_2b8f1591-5e65-4406-bb44-4495b14c6a71_Enabled">
    <vt:lpwstr>true</vt:lpwstr>
  </property>
  <property fmtid="{D5CDD505-2E9C-101B-9397-08002B2CF9AE}" pid="4" name="MSIP_Label_2b8f1591-5e65-4406-bb44-4495b14c6a71_SetDate">
    <vt:lpwstr>2026-09-04T19:18:49Z</vt:lpwstr>
  </property>
  <property fmtid="{D5CDD505-2E9C-101B-9397-08002B2CF9AE}" pid="5" name="MSIP_Label_2b8f1591-5e65-4406-bb44-4495b14c6a71_Method">
    <vt:lpwstr>Standard</vt:lpwstr>
  </property>
  <property fmtid="{D5CDD505-2E9C-101B-9397-08002B2CF9AE}" pid="6" name="MSIP_Label_2b8f1591-5e65-4406-bb44-4495b14c6a71_Name">
    <vt:lpwstr>Sisäinen</vt:lpwstr>
  </property>
  <property fmtid="{D5CDD505-2E9C-101B-9397-08002B2CF9AE}" pid="7" name="MSIP_Label_2b8f1591-5e65-4406-bb44-4495b14c6a71_SiteId">
    <vt:lpwstr>ab32bc86-12f2-4b38-b262-c5775982e241</vt:lpwstr>
  </property>
  <property fmtid="{D5CDD505-2E9C-101B-9397-08002B2CF9AE}" pid="8" name="MSIP_Label_2b8f1591-5e65-4406-bb44-4495b14c6a71_ActionId">
    <vt:lpwstr>23234d6b-fb2e-4700-8338-39a867f2b09b</vt:lpwstr>
  </property>
  <property fmtid="{D5CDD505-2E9C-101B-9397-08002B2CF9AE}" pid="9" name="MSIP_Label_2b8f1591-5e65-4406-bb44-4495b14c6a71_ContentBits">
    <vt:lpwstr>0</vt:lpwstr>
  </property>
  <property fmtid="{D5CDD505-2E9C-101B-9397-08002B2CF9AE}" pid="10" name="MSIP_Label_2b8f1591-5e65-4406-bb44-4495b14c6a71_Tag">
    <vt:lpwstr>10, 3, 0, 1</vt:lpwstr>
  </property>
  <property fmtid="{D5CDD505-2E9C-101B-9397-08002B2CF9AE}" pid="11" name="MediaServiceImageTags">
    <vt:lpwstr/>
  </property>
</Properties>
</file>